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8dFt7lgzsHRkjQC3puYF/gyUlbSgja4yjvSQVElR7UEE69KRBU8JN6Q7w2YCChKuWh9UMkgEm4aIMxvfr3ZyWw==" workbookSaltValue="jf38IqvJc3rqzUIs3T5bw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O19" i="8" s="1"/>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ER19" i="8"/>
  <c r="AE13" i="21"/>
  <c r="EL19" i="8"/>
  <c r="BE12" i="21"/>
  <c r="EQ19" i="8"/>
  <c r="EN19" i="8"/>
  <c r="E15" i="3"/>
  <c r="BA13" i="16"/>
  <c r="E17" i="3"/>
  <c r="F16" i="10"/>
  <c r="ES19" i="8"/>
  <c r="G18" i="12"/>
  <c r="C18" i="7"/>
  <c r="R19" i="8"/>
  <c r="EP19" i="8"/>
  <c r="EP19" i="19"/>
  <c r="S13" i="16"/>
  <c r="P13" i="16"/>
  <c r="W13" i="20"/>
  <c r="H13" i="12"/>
  <c r="F13" i="7"/>
  <c r="T13" i="16"/>
  <c r="BE9" i="8"/>
  <c r="AP13" i="16"/>
  <c r="T18" i="17"/>
  <c r="BF15" i="13"/>
  <c r="BF16" i="13"/>
  <c r="Z20" i="20"/>
  <c r="H20" i="20"/>
  <c r="G18" i="14"/>
  <c r="AK20" i="20"/>
  <c r="T20" i="20"/>
  <c r="O16" i="11"/>
  <c r="BF17" i="8" l="1"/>
  <c r="I19" i="8"/>
  <c r="AL19" i="8"/>
  <c r="AG19" i="8"/>
  <c r="AV18" i="21"/>
  <c r="BM18" i="16"/>
  <c r="BE12" i="8"/>
  <c r="I12" i="7" s="1"/>
  <c r="AJ19" i="8"/>
  <c r="D13" i="7"/>
  <c r="B13" i="7"/>
  <c r="AE13" i="17"/>
  <c r="B12" i="6"/>
  <c r="E10" i="6"/>
  <c r="AY13" i="8"/>
  <c r="R8" i="9"/>
  <c r="BE15" i="13"/>
  <c r="BE16" i="13"/>
  <c r="AO12" i="11"/>
  <c r="BD12" i="8"/>
  <c r="L11" i="14"/>
  <c r="BH9" i="16"/>
  <c r="BJ17" i="11"/>
  <c r="BH15" i="16"/>
  <c r="BL17" i="11"/>
  <c r="BF10" i="11"/>
  <c r="BK15" i="11"/>
  <c r="AZ17" i="11"/>
  <c r="Q10" i="21"/>
  <c r="BJ11" i="11"/>
  <c r="BI17" i="11"/>
  <c r="BL11" i="11"/>
  <c r="BM15" i="11"/>
  <c r="T15" i="16"/>
  <c r="BW9" i="20"/>
  <c r="BV16" i="16"/>
  <c r="BV15" i="16"/>
  <c r="BU9" i="17"/>
  <c r="BU17" i="17"/>
  <c r="BV9" i="16"/>
  <c r="AZ12" i="11"/>
  <c r="T16" i="11"/>
  <c r="Q17" i="17"/>
  <c r="BI9" i="11"/>
  <c r="BJ10" i="11"/>
  <c r="BH11" i="11"/>
  <c r="T11" i="11"/>
  <c r="AQ12" i="21"/>
  <c r="BL16" i="11"/>
  <c r="L12" i="2"/>
  <c r="AP16" i="20"/>
  <c r="V15" i="11"/>
  <c r="BH15" i="11"/>
  <c r="Q17" i="20"/>
  <c r="Q18" i="20" s="1"/>
  <c r="BK12" i="11"/>
  <c r="BK9" i="11"/>
  <c r="X11" i="17"/>
  <c r="X9" i="17"/>
  <c r="BI10" i="11"/>
  <c r="V9" i="11"/>
  <c r="R10" i="21"/>
  <c r="R13" i="21" s="1"/>
  <c r="BG9" i="11"/>
  <c r="BH17" i="11"/>
  <c r="T17" i="16"/>
  <c r="BU15" i="17"/>
  <c r="BW17" i="20"/>
  <c r="BW16" i="20"/>
  <c r="BW15" i="20"/>
  <c r="BV10" i="16"/>
  <c r="BU16" i="17"/>
  <c r="T15" i="11"/>
  <c r="BG12" i="11"/>
  <c r="BH10" i="11"/>
  <c r="AQ10" i="21"/>
  <c r="BK16" i="11"/>
  <c r="BG16" i="11"/>
  <c r="BH16" i="11"/>
  <c r="BJ16" i="11"/>
  <c r="U9" i="17"/>
  <c r="U19" i="17" s="1"/>
  <c r="X12" i="21"/>
  <c r="T9" i="11"/>
  <c r="BF11" i="11"/>
  <c r="BH11" i="16"/>
  <c r="BL9" i="11"/>
  <c r="BH17" i="16"/>
  <c r="BG10" i="11"/>
  <c r="BM16" i="11"/>
  <c r="P17" i="17"/>
  <c r="BF17" i="11"/>
  <c r="BF16" i="11"/>
  <c r="S17" i="16"/>
  <c r="S18" i="16" s="1"/>
  <c r="BL12" i="11"/>
  <c r="V12" i="21"/>
  <c r="V17" i="16"/>
  <c r="BK11" i="11"/>
  <c r="V11" i="11"/>
  <c r="AP10" i="21"/>
  <c r="BM12" i="11"/>
  <c r="BH9" i="11"/>
  <c r="BI15" i="11"/>
  <c r="BJ15" i="11"/>
  <c r="BJ18" i="11" s="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2" i="12" l="1"/>
  <c r="AB21" i="21"/>
  <c r="BF18" i="13"/>
  <c r="I15" i="12"/>
  <c r="AZ13" i="11"/>
  <c r="R19" i="2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P12" i="11" l="1"/>
  <c r="J11" i="12"/>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<sst xmlns="http://schemas.openxmlformats.org/spreadsheetml/2006/main" count="2094" uniqueCount="914">
  <si>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</si>
  <si>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</si>
  <si>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</si>
  <si>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</si>
  <si>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</si>
  <si>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</si>
  <si>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</si>
  <si>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</si>
  <si>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</si>
  <si>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</si>
  <si>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</si>
  <si>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</si>
  <si>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</si>
  <si>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</si>
  <si>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</si>
  <si>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</si>
  <si>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</si>
  <si>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</si>
  <si>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</si>
  <si>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</si>
  <si>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</si>
  <si>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</si>
  <si>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</si>
  <si>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</si>
  <si>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</si>
  <si>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</si>
  <si>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</si>
  <si>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</si>
  <si>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</si>
  <si>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</si>
  <si>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</si>
  <si>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</si>
  <si>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</si>
  <si>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</si>
  <si>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</si>
  <si>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</si>
  <si>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</si>
  <si>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</si>
  <si>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</si>
  <si>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</si>
  <si>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</si>
  <si>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</si>
  <si>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</si>
  <si>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</si>
  <si>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</si>
  <si>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</si>
  <si>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</si>
  <si>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</si>
  <si>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</si>
  <si>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</si>
  <si>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</si>
  <si>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</si>
  <si>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</si>
  <si>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</si>
  <si>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</si>
  <si>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</si>
  <si>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</si>
  <si>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</si>
  <si>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</si>
  <si>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</si>
  <si>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</si>
  <si>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</si>
  <si>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</si>
  <si>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</si>
  <si>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</si>
  <si>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</si>
  <si>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</si>
  <si>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</si>
  <si>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</si>
  <si>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</si>
  <si>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</si>
  <si>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</si>
  <si>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</si>
  <si>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</si>
  <si>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</si>
  <si>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</si>
  <si>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</si>
  <si>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</si>
  <si>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</si>
  <si>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</si>
  <si>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</si>
  <si>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</si>
  <si>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</si>
  <si>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</si>
  <si>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</si>
  <si>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</si>
  <si>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</si>
  <si>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</si>
  <si>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</si>
  <si>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</si>
  <si>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</si>
  <si>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</si>
  <si>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</si>
  <si>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</si>
  <si>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</si>
  <si>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</si>
  <si>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</si>
  <si>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</si>
  <si>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</si>
  <si>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</si>
  <si>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</si>
  <si>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</si>
  <si>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</si>
  <si>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</si>
  <si>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</si>
  <si>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</si>
  <si>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</si>
  <si>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</si>
  <si>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</si>
  <si>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</si>
  <si>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</si>
  <si>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</si>
  <si>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</si>
  <si>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</si>
  <si>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</si>
  <si>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</si>
  <si>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</si>
  <si>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</si>
  <si>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</si>
  <si>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</si>
  <si>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</si>
  <si>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</si>
  <si>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</si>
  <si>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</si>
  <si>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</si>
  <si>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</si>
  <si>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</si>
  <si>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</si>
  <si>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</si>
  <si>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</si>
  <si>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</si>
  <si>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</si>
  <si>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</si>
  <si>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</si>
  <si>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</si>
  <si>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</si>
  <si>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</si>
  <si>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</si>
  <si>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</si>
  <si>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</si>
  <si>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</si>
  <si>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</si>
  <si>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</si>
  <si>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</si>
  <si>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</si>
  <si>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</si>
  <si>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</si>
  <si>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</si>
  <si>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</si>
  <si>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</si>
  <si>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</si>
  <si>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</si>
  <si>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</si>
  <si>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</si>
  <si>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</si>
  <si>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</si>
  <si>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</si>
  <si>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</si>
  <si>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</si>
  <si>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</si>
  <si>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</si>
  <si>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</si>
  <si>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</si>
  <si>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</si>
  <si>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</si>
  <si>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</si>
  <si>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</si>
  <si>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</si>
  <si>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</si>
  <si>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</si>
  <si>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</si>
  <si>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</si>
  <si>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</si>
  <si>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</si>
  <si>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</si>
  <si>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</si>
  <si>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</si>
  <si>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</si>
  <si>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</si>
  <si>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</si>
  <si>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</si>
  <si>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</si>
  <si>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</si>
  <si>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</si>
  <si>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</si>
  <si>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</si>
  <si>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</si>
  <si>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</si>
  <si>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</si>
  <si>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</si>
  <si>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</si>
  <si>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</si>
  <si>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</si>
  <si>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</si>
  <si>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</si>
  <si>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</si>
  <si>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</si>
  <si>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</si>
  <si>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</si>
  <si>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</si>
  <si>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</si>
  <si>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</si>
  <si>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</si>
  <si>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</si>
  <si>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</si>
  <si>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</si>
  <si>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</si>
  <si>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</si>
  <si>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</si>
  <si>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</si>
  <si>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</si>
  <si>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</si>
  <si>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</si>
  <si>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</si>
  <si>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</si>
  <si>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</si>
  <si>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</si>
  <si>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</si>
  <si>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</si>
  <si>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</si>
  <si>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</si>
  <si>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</si>
  <si>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</si>
  <si>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</si>
  <si>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</si>
  <si>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</si>
  <si>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</si>
  <si>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</si>
  <si>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</si>
  <si>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</si>
  <si>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</si>
  <si>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</si>
  <si>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</si>
  <si>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</si>
  <si>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</si>
  <si>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</si>
  <si>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</si>
  <si>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</si>
  <si>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</si>
  <si>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</si>
  <si>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</si>
  <si>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</si>
  <si>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</si>
  <si>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</si>
  <si>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</si>
  <si>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</si>
  <si>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</si>
  <si>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</si>
  <si>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</si>
  <si>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</si>
  <si>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</si>
  <si>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</si>
  <si>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</si>
  <si>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</si>
  <si>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</si>
  <si>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</si>
  <si>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</si>
  <si>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</si>
  <si>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</si>
  <si>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</si>
  <si>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</si>
  <si>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</si>
  <si>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</si>
  <si>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</si>
  <si>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</si>
  <si>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</si>
  <si>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</si>
  <si>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</si>
  <si>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</si>
  <si>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</si>
  <si>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</si>
  <si>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</si>
  <si>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</si>
  <si>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</si>
  <si>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</si>
  <si>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</si>
  <si>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</si>
  <si>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</si>
  <si>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</si>
  <si>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</si>
  <si>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</si>
  <si>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</si>
  <si>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</si>
  <si>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</si>
  <si>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</si>
  <si>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</si>
  <si>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</si>
  <si>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</si>
  <si>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</si>
  <si>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</si>
  <si>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</si>
  <si>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</si>
  <si>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</si>
  <si>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</si>
  <si>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</si>
  <si>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</si>
  <si>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</si>
  <si>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</si>
  <si>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</si>
  <si>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</si>
  <si>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</si>
  <si>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</si>
  <si>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</si>
  <si>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</si>
  <si>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</si>
  <si>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</si>
  <si>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</si>
  <si>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</si>
  <si>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</si>
  <si>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</si>
  <si>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</si>
  <si>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</si>
  <si>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</si>
  <si>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</si>
  <si>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</si>
  <si>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</si>
  <si>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</si>
  <si>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</si>
  <si>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</si>
  <si>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</si>
  <si>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</si>
  <si>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</si>
  <si>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</si>
  <si>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</si>
  <si>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</si>
  <si>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</si>
  <si>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</si>
  <si>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</si>
  <si>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</si>
  <si>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</si>
  <si>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</si>
  <si>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</si>
  <si>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</si>
  <si>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</si>
  <si>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</si>
  <si>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</si>
  <si>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</si>
  <si>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</si>
  <si>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</si>
  <si>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</si>
  <si>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</si>
  <si>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</si>
  <si>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</si>
  <si>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</si>
  <si>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</si>
  <si>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</si>
  <si>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</si>
  <si>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</si>
  <si>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</si>
  <si>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</si>
  <si>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</si>
  <si>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</si>
  <si>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</si>
  <si>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</si>
  <si>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</si>
  <si>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</si>
  <si>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</si>
  <si>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</si>
  <si>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</si>
  <si>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</si>
  <si>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</si>
  <si>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</si>
  <si>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</si>
  <si>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</si>
  <si>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</si>
  <si>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</si>
  <si>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</si>
  <si>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</si>
  <si>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</si>
  <si>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</si>
  <si>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</si>
  <si>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</si>
  <si>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</si>
  <si>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</si>
  <si>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</si>
  <si>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</si>
  <si>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</si>
  <si>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</si>
  <si>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</si>
  <si>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</si>
  <si>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</si>
  <si>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</si>
  <si>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</si>
  <si>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</si>
  <si>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</si>
  <si>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</si>
  <si>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</si>
  <si>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</si>
  <si>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</si>
  <si>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</si>
  <si>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</si>
  <si>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</si>
  <si>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</si>
  <si>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</si>
  <si>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</si>
  <si>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</si>
  <si>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</si>
  <si>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</si>
  <si>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</si>
  <si>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</si>
  <si>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</si>
  <si>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</si>
  <si>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</si>
  <si>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</si>
  <si>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</si>
  <si>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</si>
  <si>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</si>
  <si>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</si>
  <si>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</si>
  <si>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</si>
  <si>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</si>
  <si>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</si>
  <si>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</si>
  <si>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</si>
  <si>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</si>
  <si>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</si>
  <si>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</si>
  <si>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</si>
  <si>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</si>
  <si>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</si>
  <si>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</si>
  <si>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</si>
  <si>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</si>
  <si>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</si>
  <si>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</si>
  <si>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</si>
  <si>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</si>
  <si>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</si>
  <si>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</si>
  <si>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</si>
  <si>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</si>
  <si>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</si>
  <si>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</si>
  <si>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</si>
  <si>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</si>
  <si>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</si>
  <si>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</si>
  <si>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</si>
  <si>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</si>
  <si>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</si>
  <si>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</si>
  <si>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</si>
  <si>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</si>
  <si>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</si>
  <si>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</si>
  <si>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</si>
  <si>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</si>
  <si>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</si>
  <si>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</si>
  <si>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</si>
  <si>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</si>
  <si>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</si>
  <si>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</si>
  <si>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</si>
  <si>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</si>
  <si>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</si>
  <si>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</si>
  <si>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</si>
  <si>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</si>
  <si>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</si>
  <si>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</si>
  <si>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</si>
  <si>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</si>
  <si>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</si>
  <si>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</si>
  <si>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</si>
  <si>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</si>
  <si>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</si>
  <si>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</si>
  <si>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</si>
  <si>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</si>
  <si>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</si>
  <si>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</si>
  <si>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</si>
  <si>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</si>
  <si>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</si>
  <si>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</si>
  <si>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</si>
  <si>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</si>
  <si>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</si>
  <si>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</si>
  <si>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</si>
  <si>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</si>
  <si>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</si>
  <si>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</si>
  <si>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</si>
  <si>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</si>
  <si>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</si>
  <si>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</si>
  <si>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</si>
  <si>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</si>
  <si>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</si>
  <si>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</si>
  <si>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</si>
  <si>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</si>
  <si>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</si>
  <si>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</si>
  <si>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</si>
  <si>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</si>
  <si>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</si>
  <si>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</si>
  <si>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</si>
  <si>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</si>
  <si>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</si>
  <si>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</si>
  <si>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</si>
  <si>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</si>
  <si>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</si>
  <si>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</si>
  <si>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</si>
  <si>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</si>
  <si>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</si>
  <si>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</si>
  <si>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</si>
  <si>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</si>
  <si>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</si>
  <si>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</si>
  <si>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</si>
  <si>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</si>
  <si>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</si>
  <si>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</si>
  <si>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</si>
  <si>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</si>
  <si>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</si>
  <si>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</si>
  <si>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</si>
  <si>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</si>
  <si>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</si>
  <si>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</si>
  <si>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</si>
  <si>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</si>
  <si>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</si>
  <si>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</si>
  <si>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</si>
  <si>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</si>
  <si>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</si>
  <si>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</si>
  <si>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</si>
  <si>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</si>
  <si>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</si>
  <si>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</si>
  <si>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</si>
  <si>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</si>
  <si>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</si>
  <si>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</si>
  <si>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</si>
  <si>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</si>
  <si>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</si>
  <si>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</si>
  <si>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</si>
  <si>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</si>
  <si>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</si>
  <si>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</si>
  <si>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</si>
  <si>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</si>
  <si>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</si>
  <si>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</si>
  <si>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</si>
  <si>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</si>
  <si>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</si>
  <si>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</si>
  <si>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</si>
  <si>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</si>
  <si>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</si>
  <si>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</si>
  <si>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</si>
  <si>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</si>
  <si>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</si>
  <si>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</si>
  <si>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</si>
  <si>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</si>
  <si>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</si>
  <si>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</si>
  <si>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</si>
  <si>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</si>
  <si>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</si>
  <si>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</si>
  <si>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</si>
  <si>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</si>
  <si>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</si>
  <si>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</si>
  <si>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</si>
  <si>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</si>
  <si>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</si>
  <si>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</si>
  <si>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</si>
  <si>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</si>
  <si>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</si>
  <si>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</si>
  <si>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</si>
  <si>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</si>
  <si>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</si>
  <si>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</si>
  <si>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</si>
  <si>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</si>
  <si>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</si>
  <si>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</si>
  <si>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</si>
  <si>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</si>
  <si>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</si>
  <si>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</si>
  <si>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</si>
  <si>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</si>
  <si>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</si>
  <si>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</si>
  <si>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</si>
  <si>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</si>
  <si>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</si>
  <si>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</si>
  <si>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</si>
  <si>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</si>
  <si>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</si>
  <si>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</si>
  <si>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</si>
  <si>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</si>
  <si>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</si>
  <si>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</si>
  <si>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</si>
  <si>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</si>
  <si>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</si>
  <si>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</si>
  <si>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</si>
  <si>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</si>
  <si>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</si>
  <si>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</si>
  <si>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</si>
  <si>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</si>
  <si>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</si>
  <si>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</si>
  <si>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</si>
  <si>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</si>
  <si>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</si>
  <si>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</si>
  <si>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</si>
  <si>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</si>
  <si>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</si>
  <si>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</si>
  <si>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</si>
  <si>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</si>
  <si>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</si>
  <si>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</si>
  <si>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</si>
  <si>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</si>
  <si>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</si>
  <si>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</si>
  <si>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</si>
  <si>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</si>
  <si>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</si>
  <si>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</si>
  <si>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</si>
  <si>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</si>
  <si>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</si>
  <si>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</si>
  <si>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</si>
  <si>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</si>
  <si>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</si>
  <si>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</si>
  <si>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</si>
  <si>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</si>
  <si>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</si>
  <si>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</si>
  <si>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</si>
  <si>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</si>
  <si>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</si>
  <si>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</si>
  <si>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</si>
  <si>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</si>
  <si>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</si>
  <si>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</si>
  <si>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</si>
  <si>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</si>
  <si>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</si>
  <si>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</si>
  <si>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</si>
  <si>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</si>
  <si>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</si>
  <si>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</si>
  <si>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</si>
  <si>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</si>
  <si>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</si>
  <si>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</si>
  <si>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</si>
  <si>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</si>
  <si>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</si>
  <si>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</si>
  <si>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</si>
  <si>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</si>
  <si>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</si>
  <si>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</si>
  <si>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</si>
  <si>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</si>
  <si>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</si>
  <si>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</si>
  <si>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</si>
  <si>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</si>
  <si>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</si>
  <si>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</si>
  <si>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</si>
  <si>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</si>
  <si>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</si>
  <si>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</si>
  <si>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</si>
  <si>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</si>
  <si>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</si>
  <si>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</si>
  <si>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</si>
  <si>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</si>
  <si>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</si>
  <si>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</si>
  <si>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</si>
  <si>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</si>
  <si>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</si>
  <si>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</si>
  <si>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</si>
  <si>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</si>
  <si>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</si>
  <si>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</si>
  <si>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</si>
  <si>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</si>
  <si>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</si>
  <si>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</si>
  <si>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</si>
  <si>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</si>
  <si>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</si>
  <si>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</si>
  <si>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</si>
  <si>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</si>
  <si>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</si>
  <si>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</si>
  <si>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</si>
  <si>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</si>
  <si>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</si>
  <si>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</si>
  <si>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</si>
  <si>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</si>
  <si>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</si>
  <si>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</si>
  <si>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</si>
  <si>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</si>
  <si>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</si>
  <si>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</si>
  <si>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</si>
  <si>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</si>
  <si>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</si>
  <si>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</si>
  <si>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</si>
  <si>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</si>
  <si>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</si>
  <si>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</si>
  <si>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</si>
  <si>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</si>
  <si>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</si>
  <si>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</si>
  <si>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</si>
  <si>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</si>
  <si>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</si>
  <si>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</si>
  <si>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</si>
  <si>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</si>
  <si>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</si>
  <si>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</si>
  <si>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</si>
  <si>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</si>
  <si>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</si>
  <si>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</si>
  <si>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</si>
  <si>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</si>
  <si>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</si>
  <si>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</si>
  <si>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</si>
  <si>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</si>
  <si>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</si>
  <si>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</si>
  <si>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</si>
  <si>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</si>
  <si>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</si>
  <si>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</si>
  <si>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</si>
  <si>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</si>
  <si>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</si>
  <si>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</si>
  <si>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</si>
  <si>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</si>
  <si>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</si>
  <si>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</si>
  <si>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</si>
  <si>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</si>
  <si>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</si>
  <si>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</si>
  <si>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</si>
  <si>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</si>
  <si>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</si>
  <si>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</si>
  <si>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</si>
  <si>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</si>
  <si>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</si>
  <si>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</si>
  <si>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</si>
  <si>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</si>
  <si>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</si>
  <si>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</si>
  <si>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</si>
  <si>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</si>
  <si>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</si>
  <si>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</si>
  <si>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</si>
  <si>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</si>
  <si>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</si>
  <si>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</si>
  <si>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</si>
  <si>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</si>
  <si>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</si>
  <si>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</si>
  <si>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</si>
  <si>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</si>
  <si>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</si>
  <si>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</si>
  <si>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</si>
  <si>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</si>
  <si>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</si>
  <si>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</si>
  <si>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</si>
  <si>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</si>
  <si>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</si>
  <si>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</si>
  <si>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</si>
  <si>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</si>
  <si>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</si>
  <si>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</si>
  <si>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</si>
  <si>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</si>
  <si>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</si>
  <si>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</si>
  <si>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</si>
  <si>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</si>
  <si>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</si>
  <si>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</si>
  <si>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</si>
  <si>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</si>
  <si>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</si>
  <si>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</si>
  <si>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</si>
  <si>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</si>
  <si>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</si>
  <si>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</si>
  <si>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</si>
  <si>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</si>
  <si>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</si>
  <si>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</si>
  <si>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</si>
  <si>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</si>
  <si>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</si>
  <si>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</si>
  <si>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</si>
  <si>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</si>
  <si>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</si>
  <si>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</si>
  <si>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</si>
  <si>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</si>
  <si>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</si>
  <si>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</si>
  <si>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</si>
  <si>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</si>
  <si>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</si>
  <si>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</si>
  <si>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</si>
  <si>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</si>
  <si>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</si>
  <si>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</si>
  <si>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</si>
  <si>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</si>
  <si>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</si>
  <si>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</si>
  <si>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</si>
  <si>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</si>
  <si>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</si>
  <si>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</si>
  <si>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</si>
  <si>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</si>
  <si>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</si>
  <si>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</si>
  <si>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</si>
  <si>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</si>
  <si>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</si>
  <si>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</si>
  <si>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</si>
  <si>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</si>
  <si>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</si>
  <si>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</si>
  <si>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</si>
  <si>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</si>
  <si>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</si>
  <si>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</si>
  <si>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</si>
  <si>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</si>
  <si>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</si>
  <si>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</si>
  <si>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</si>
  <si>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</si>
  <si>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</si>
  <si>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</si>
  <si>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</si>
  <si>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</si>
  <si>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</si>
  <si>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</si>
  <si>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</si>
  <si>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</si>
  <si>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</si>
  <si>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</si>
  <si>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</si>
  <si>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</si>
  <si>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</si>
  <si>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</si>
  <si>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VELEZ-MALAGA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</si>
</sst>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qc9wxqhncTo/FN4uq8KVevVm4Pxzq8cDUSaLKnYWLy/+6YQjuDto6icMXprx4f1qo+KMtJQ3728dy2girjTLQ==" saltValue="2fpOFQDu8Ll4b7KXpEiu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7</v>
      </c>
      <c r="D10" s="225">
        <f>IF(ISNUMBER(Datos!I10),Datos!I10," - ")</f>
        <v>7</v>
      </c>
      <c r="E10" s="226">
        <f>IF(ISNUMBER(Datos!J10),Datos!J10," - ")</f>
        <v>7</v>
      </c>
      <c r="F10" s="226">
        <f>IF(ISNUMBER(Datos!K10),Datos!K10," - ")</f>
        <v>5</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40.025303643724698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7</v>
      </c>
      <c r="D13" s="1049">
        <f>SUBTOTAL(9,D9:D12)</f>
        <v>7</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5</v>
      </c>
      <c r="B16" s="502" t="str">
        <f>Datos!A16</f>
        <v xml:space="preserve">Jdos. 1ª Instª. e Instr.                        </v>
      </c>
      <c r="C16" s="225">
        <f t="shared" si="2"/>
        <v>2341</v>
      </c>
      <c r="D16" s="225">
        <f>IF(ISNUMBER(IF(D_I="SI",Datos!I16,Datos!I16+Datos!AC16)),IF(D_I="SI",Datos!I16,Datos!I16+Datos!AC16)," - ")</f>
        <v>2341</v>
      </c>
      <c r="E16" s="226">
        <f>IF(ISNUMBER(IF(D_I="SI",Datos!J16,Datos!J16+Datos!AD16)),IF(D_I="SI",Datos!J16,Datos!J16+Datos!AD16)," - ")</f>
        <v>2418</v>
      </c>
      <c r="F16" s="226">
        <f>IF(ISNUMBER(IF(D_I="SI",Datos!K16,Datos!K16+Datos!AE16)),IF(D_I="SI",Datos!K16,Datos!K16+Datos!AE16)," - ")</f>
        <v>2519</v>
      </c>
      <c r="G16" s="1034" t="str">
        <f>IF(Datos!E16&lt;&gt;"",Datos!E16,Datos!D16)</f>
        <v>04</v>
      </c>
      <c r="H16" s="227">
        <f>IF(ISNUMBER(IF(D_I="SI",Datos!L16,Datos!L16+Datos!AF16)),IF(D_I="SI",Datos!L16,Datos!L16+Datos!AF16)," - ")</f>
        <v>2240</v>
      </c>
      <c r="I16" s="1044" t="str">
        <f>IF(ISNUMBER(Datos!AS16/Datos!BM16),Datos!AS16/Datos!BM16," - ")</f>
        <v xml:space="preserve"> - </v>
      </c>
      <c r="J16" s="1045">
        <f>IF(ISNUMBER(Datos!BY16/Datos!CN16),Datos!BY16/Datos!CN16," - ")</f>
        <v>0</v>
      </c>
      <c r="K16" s="230">
        <f t="shared" si="3"/>
        <v>-4.3143955574540795E-2</v>
      </c>
      <c r="L16" s="1025">
        <f>IF(ISNUMBER(NºAsuntos!I16/NºAsuntos!G16),(NºAsuntos!I16/NºAsuntos!G16)*11," - ")</f>
        <v>9.7816593886462879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104</v>
      </c>
      <c r="F17" s="226">
        <f>IF(ISNUMBER(IF(D_I="SI",Datos!K17,Datos!K17+Datos!AE17)),IF(D_I="SI",Datos!K17,Datos!K17+Datos!AE17)," - ")</f>
        <v>111</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-0.10294117647058823</v>
      </c>
      <c r="L17" s="1025">
        <f>IF(ISNUMBER(NºAsuntos!I17/NºAsuntos!G17),(NºAsuntos!I17/NºAsuntos!G17)*11," - ")</f>
        <v>6.0450450450450459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2409</v>
      </c>
      <c r="D18" s="1049">
        <f>SUBTOTAL(9,D15:D17)</f>
        <v>2409</v>
      </c>
      <c r="E18" s="1050">
        <f>SUBTOTAL(9,E15:E17)</f>
        <v>2522</v>
      </c>
      <c r="F18" s="1050">
        <f>SUBTOTAL(9,F15:F17)</f>
        <v>2630</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2416</v>
      </c>
      <c r="D19" s="1071">
        <f>SUBTOTAL(9,D9:D18)</f>
        <v>2416</v>
      </c>
      <c r="E19" s="1072">
        <f>SUBTOTAL(9,E9:E18)</f>
        <v>2529</v>
      </c>
      <c r="F19" s="1072">
        <f>SUBTOTAL(9,F9:F18)</f>
        <v>2635</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7UKR54rgztlmdQvuDPXGC3JcoiZZA2tOW2/5sUBap9c57SqTlHqIGyDU8FYgGPBHCsFd4qFrUWcISHqSTyyJsg==" saltValue="lHQ50/FcYycNsTINR6who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vM4WeSSj8QO/qm8hojlT7IgYziSUFqdiwT1ou30rQ+Yoa4lJ6Nd7Vchogza+Wn5mFgt9vA5vdWjtJI071kOIQ==" saltValue="qRR6gso/x6LumiLgcoAV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7</v>
      </c>
      <c r="J10" s="181">
        <v>7</v>
      </c>
      <c r="K10" s="181">
        <v>5</v>
      </c>
      <c r="L10" s="181">
        <v>9</v>
      </c>
      <c r="M10" s="181">
        <v>3</v>
      </c>
      <c r="N10" s="181">
        <v>1</v>
      </c>
      <c r="O10" s="181">
        <v>0</v>
      </c>
      <c r="P10" s="181">
        <v>0</v>
      </c>
      <c r="Q10" s="181">
        <v>0</v>
      </c>
      <c r="R10" s="181">
        <v>0</v>
      </c>
      <c r="S10" s="181">
        <v>8</v>
      </c>
      <c r="T10" s="181">
        <v>6</v>
      </c>
      <c r="U10" s="181">
        <v>10</v>
      </c>
      <c r="V10" s="181">
        <v>4</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6</v>
      </c>
      <c r="BA10" s="129">
        <f t="shared" si="0"/>
        <v>10</v>
      </c>
      <c r="BB10" s="129">
        <f t="shared" si="0"/>
        <v>4</v>
      </c>
      <c r="BC10" s="125">
        <f t="shared" si="0"/>
        <v>5</v>
      </c>
      <c r="BD10" s="126">
        <f>IF(ISNUMBER(BA10/AZ10),BA10/AZ10," - ")</f>
        <v>1.6666666666666667</v>
      </c>
      <c r="BE10" s="127">
        <f>IF(ISNUMBER(BB10/BA10),BB10/BA10, " - ")</f>
        <v>0.4</v>
      </c>
      <c r="BF10" s="127">
        <f>IF(ISNUMBER(BC10/BA10),BC10/BA10, " - ")</f>
        <v>0.5</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3486</v>
      </c>
      <c r="J12" s="183">
        <v>917</v>
      </c>
      <c r="K12" s="183">
        <v>897</v>
      </c>
      <c r="L12" s="183">
        <v>3506</v>
      </c>
      <c r="M12" s="183">
        <v>313</v>
      </c>
      <c r="N12" s="183">
        <v>417</v>
      </c>
      <c r="O12" s="181">
        <v>474</v>
      </c>
      <c r="P12" s="183">
        <v>237</v>
      </c>
      <c r="Q12" s="183">
        <v>475</v>
      </c>
      <c r="R12" s="183">
        <v>5061</v>
      </c>
      <c r="S12" s="183">
        <v>2915</v>
      </c>
      <c r="T12" s="183">
        <v>1069</v>
      </c>
      <c r="U12" s="183">
        <v>1011</v>
      </c>
      <c r="V12" s="183">
        <v>2973</v>
      </c>
      <c r="W12" s="183">
        <v>301</v>
      </c>
      <c r="X12" s="189">
        <v>381</v>
      </c>
      <c r="Y12" s="191">
        <v>75</v>
      </c>
      <c r="Z12" s="181">
        <v>105</v>
      </c>
      <c r="AA12" s="181">
        <v>91</v>
      </c>
      <c r="AB12" s="181">
        <v>89</v>
      </c>
      <c r="AC12" s="183">
        <v>0</v>
      </c>
      <c r="AD12" s="183">
        <v>0</v>
      </c>
      <c r="AE12" s="183">
        <v>0</v>
      </c>
      <c r="AF12" s="189">
        <v>0</v>
      </c>
      <c r="AG12" s="202">
        <v>86</v>
      </c>
      <c r="AH12" s="183">
        <v>89</v>
      </c>
      <c r="AI12" s="183">
        <v>98</v>
      </c>
      <c r="AJ12" s="203">
        <v>77</v>
      </c>
      <c r="AK12" s="182">
        <v>0</v>
      </c>
      <c r="AL12" s="183">
        <v>0</v>
      </c>
      <c r="AM12" s="183">
        <v>0</v>
      </c>
      <c r="AN12" s="189">
        <v>0</v>
      </c>
      <c r="AO12" s="259">
        <v>5</v>
      </c>
      <c r="AP12" s="155">
        <v>5</v>
      </c>
      <c r="AQ12" s="155">
        <v>5</v>
      </c>
      <c r="AR12" s="154">
        <v>5</v>
      </c>
      <c r="AS12" s="340" t="s">
        <v>802</v>
      </c>
      <c r="AT12" s="203"/>
      <c r="AU12" s="202"/>
      <c r="AV12" s="203"/>
      <c r="AW12" s="202"/>
      <c r="AX12" s="203"/>
      <c r="AY12" s="126">
        <f t="shared" si="1"/>
        <v>3001</v>
      </c>
      <c r="AZ12" s="127">
        <f t="shared" si="1"/>
        <v>1158</v>
      </c>
      <c r="BA12" s="127">
        <f t="shared" si="1"/>
        <v>1109</v>
      </c>
      <c r="BB12" s="127">
        <f t="shared" si="1"/>
        <v>3050</v>
      </c>
      <c r="BC12" s="125">
        <f>IF(ISNUMBER(X12),X12," - ")</f>
        <v>381</v>
      </c>
      <c r="BD12" s="126">
        <f t="shared" si="2"/>
        <v>0.95768566493955098</v>
      </c>
      <c r="BE12" s="127">
        <f t="shared" si="3"/>
        <v>2.7502254283137963</v>
      </c>
      <c r="BF12" s="127">
        <f t="shared" si="4"/>
        <v>0.3435527502254283</v>
      </c>
      <c r="BG12" s="196">
        <f t="shared" si="5"/>
        <v>3.7502254283137963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3493</v>
      </c>
      <c r="J13" s="184">
        <f t="shared" si="6"/>
        <v>924</v>
      </c>
      <c r="K13" s="184">
        <f t="shared" si="6"/>
        <v>902</v>
      </c>
      <c r="L13" s="184">
        <f t="shared" si="6"/>
        <v>3515</v>
      </c>
      <c r="M13" s="184">
        <f t="shared" si="6"/>
        <v>316</v>
      </c>
      <c r="N13" s="184">
        <f t="shared" si="6"/>
        <v>418</v>
      </c>
      <c r="O13" s="184">
        <f t="shared" si="6"/>
        <v>474</v>
      </c>
      <c r="P13" s="184">
        <f t="shared" si="6"/>
        <v>237</v>
      </c>
      <c r="Q13" s="184">
        <f t="shared" si="6"/>
        <v>475</v>
      </c>
      <c r="R13" s="184">
        <f t="shared" si="6"/>
        <v>5061</v>
      </c>
      <c r="S13" s="184">
        <f t="shared" si="6"/>
        <v>2923</v>
      </c>
      <c r="T13" s="184">
        <f t="shared" si="6"/>
        <v>1075</v>
      </c>
      <c r="U13" s="184">
        <f t="shared" si="6"/>
        <v>1021</v>
      </c>
      <c r="V13" s="184">
        <f t="shared" si="6"/>
        <v>2977</v>
      </c>
      <c r="W13" s="184">
        <f t="shared" si="6"/>
        <v>306</v>
      </c>
      <c r="X13" s="184">
        <f t="shared" si="6"/>
        <v>381</v>
      </c>
      <c r="Y13" s="184">
        <f t="shared" si="6"/>
        <v>75</v>
      </c>
      <c r="Z13" s="184">
        <f t="shared" si="6"/>
        <v>105</v>
      </c>
      <c r="AA13" s="184">
        <f t="shared" si="6"/>
        <v>91</v>
      </c>
      <c r="AB13" s="184">
        <f t="shared" si="6"/>
        <v>89</v>
      </c>
      <c r="AC13" s="184">
        <f t="shared" si="6"/>
        <v>0</v>
      </c>
      <c r="AD13" s="184">
        <f t="shared" si="6"/>
        <v>0</v>
      </c>
      <c r="AE13" s="184">
        <f t="shared" si="6"/>
        <v>0</v>
      </c>
      <c r="AF13" s="184">
        <f>SUBTOTAL(9,AF9:AF12)</f>
        <v>0</v>
      </c>
      <c r="AG13" s="184">
        <f t="shared" ref="AG13:AT13" si="7">SUBTOTAL(9,AG8:AG12)</f>
        <v>86</v>
      </c>
      <c r="AH13" s="184">
        <f t="shared" si="7"/>
        <v>89</v>
      </c>
      <c r="AI13" s="184">
        <f t="shared" si="7"/>
        <v>98</v>
      </c>
      <c r="AJ13" s="184">
        <f t="shared" si="7"/>
        <v>77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3009</v>
      </c>
      <c r="AZ13" s="184">
        <f>SUBTOTAL(9,AZ8:AZ12)</f>
        <v>1164</v>
      </c>
      <c r="BA13" s="184">
        <f>SUBTOTAL(9,BA8:BA12)</f>
        <v>1119</v>
      </c>
      <c r="BB13" s="184">
        <f>SUBTOTAL(9,BB8:BB12)</f>
        <v>3054</v>
      </c>
      <c r="BC13" s="184">
        <f>SUBTOTAL(9,BC8:BC12)</f>
        <v>386</v>
      </c>
      <c r="BD13" s="205">
        <f>IF(ISNUMBER(BA13/AZ13),BA13/AZ13," - ")</f>
        <v>0.96134020618556704</v>
      </c>
      <c r="BE13" s="206">
        <f>IF(ISNUMBER(BB13/BA13),BB13/BA13, " - ")</f>
        <v>2.7292225201072386</v>
      </c>
      <c r="BF13" s="206">
        <f>IF(ISNUMBER(BC13/BA13),BC13/BA13, " - ")</f>
        <v>0.34495084897229672</v>
      </c>
      <c r="BG13" s="207">
        <f>IF(ISNUMBER((AY13+AZ13)/BA13),(AY13+AZ13)/BA13," - ")</f>
        <v>3.7292225201072386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2341</v>
      </c>
      <c r="J16" s="183">
        <v>2418</v>
      </c>
      <c r="K16" s="183">
        <v>2519</v>
      </c>
      <c r="L16" s="183">
        <v>2240</v>
      </c>
      <c r="M16" s="183">
        <v>153</v>
      </c>
      <c r="N16" s="183">
        <v>2115</v>
      </c>
      <c r="O16" s="181">
        <v>22</v>
      </c>
      <c r="P16" s="183">
        <v>26</v>
      </c>
      <c r="Q16" s="183">
        <v>22</v>
      </c>
      <c r="R16" s="183">
        <v>84</v>
      </c>
      <c r="S16" s="183">
        <v>1652</v>
      </c>
      <c r="T16" s="183">
        <v>3035</v>
      </c>
      <c r="U16" s="183">
        <v>2995</v>
      </c>
      <c r="V16" s="183">
        <v>1674</v>
      </c>
      <c r="W16" s="183">
        <v>130</v>
      </c>
      <c r="X16" s="189">
        <v>2478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1652</v>
      </c>
      <c r="AZ16" s="127">
        <f t="shared" si="9"/>
        <v>3035</v>
      </c>
      <c r="BA16" s="127">
        <f t="shared" si="9"/>
        <v>2995</v>
      </c>
      <c r="BB16" s="127">
        <f t="shared" si="9"/>
        <v>1674</v>
      </c>
      <c r="BC16" s="125">
        <f>IF(ISNUMBER(W16),W16," - ")</f>
        <v>130</v>
      </c>
      <c r="BD16" s="126">
        <f t="shared" ref="BD16" si="11">IF(ISNUMBER(BA16/AZ16),BA16/AZ16," - ")</f>
        <v>0.98682042833607908</v>
      </c>
      <c r="BE16" s="127">
        <f t="shared" ref="BE16" si="12">IF(ISNUMBER(BB16/BA16),BB16/BA16, " - ")</f>
        <v>0.55893155258764604</v>
      </c>
      <c r="BF16" s="127">
        <f t="shared" ref="BF16" si="13">IF(ISNUMBER(BC16/BA16),BC16/BA16, " - ")</f>
        <v>4.340567612687813E-2</v>
      </c>
      <c r="BG16" s="196">
        <f t="shared" si="10"/>
        <v>1.5649415692821369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68</v>
      </c>
      <c r="J17" s="183">
        <v>104</v>
      </c>
      <c r="K17" s="183">
        <v>111</v>
      </c>
      <c r="L17" s="183">
        <v>61</v>
      </c>
      <c r="M17" s="183">
        <v>20</v>
      </c>
      <c r="N17" s="183">
        <v>73</v>
      </c>
      <c r="O17" s="183">
        <v>0</v>
      </c>
      <c r="P17" s="183">
        <v>3</v>
      </c>
      <c r="Q17" s="183">
        <v>1</v>
      </c>
      <c r="R17" s="183">
        <v>4</v>
      </c>
      <c r="S17" s="183">
        <v>82</v>
      </c>
      <c r="T17" s="183">
        <v>94</v>
      </c>
      <c r="U17" s="183">
        <v>105</v>
      </c>
      <c r="V17" s="183">
        <v>71</v>
      </c>
      <c r="W17" s="183">
        <v>16</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82</v>
      </c>
      <c r="AZ17" s="129">
        <f t="shared" si="14"/>
        <v>94</v>
      </c>
      <c r="BA17" s="129">
        <f t="shared" si="14"/>
        <v>105</v>
      </c>
      <c r="BB17" s="129">
        <f t="shared" si="14"/>
        <v>71</v>
      </c>
      <c r="BC17" s="125">
        <f>IF(ISNUMBER(W17),W17," - ")</f>
        <v>16</v>
      </c>
      <c r="BD17" s="126">
        <f>IF(ISNUMBER(BA17/AZ17),BA17/AZ17," - ")</f>
        <v>1.1170212765957446</v>
      </c>
      <c r="BE17" s="127">
        <f>IF(ISNUMBER(BB17/BA17),BB17/BA17, " - ")</f>
        <v>0.67619047619047623</v>
      </c>
      <c r="BF17" s="127">
        <f>IF(ISNUMBER(BC17/BA17),BC17/BA17, " - ")</f>
        <v>0.15238095238095239</v>
      </c>
      <c r="BG17" s="196">
        <f>IF(ISNUMBER((AY17+AZ17)/BA17),(AY17+AZ17)/BA17," - ")</f>
        <v>1.6761904761904762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2409</v>
      </c>
      <c r="J18" s="184">
        <f t="shared" si="15"/>
        <v>2522</v>
      </c>
      <c r="K18" s="184">
        <f t="shared" si="15"/>
        <v>2630</v>
      </c>
      <c r="L18" s="184">
        <f t="shared" si="15"/>
        <v>2301</v>
      </c>
      <c r="M18" s="184">
        <f t="shared" si="15"/>
        <v>173</v>
      </c>
      <c r="N18" s="184">
        <f t="shared" si="15"/>
        <v>2188</v>
      </c>
      <c r="O18" s="184">
        <f t="shared" si="15"/>
        <v>22</v>
      </c>
      <c r="P18" s="184">
        <f t="shared" si="15"/>
        <v>29</v>
      </c>
      <c r="Q18" s="184">
        <f t="shared" si="15"/>
        <v>23</v>
      </c>
      <c r="R18" s="184">
        <f t="shared" si="15"/>
        <v>88</v>
      </c>
      <c r="S18" s="184">
        <f t="shared" si="15"/>
        <v>1734</v>
      </c>
      <c r="T18" s="184">
        <f t="shared" si="15"/>
        <v>3129</v>
      </c>
      <c r="U18" s="184">
        <f t="shared" si="15"/>
        <v>3100</v>
      </c>
      <c r="V18" s="184">
        <f t="shared" si="15"/>
        <v>1745</v>
      </c>
      <c r="W18" s="184">
        <f t="shared" si="15"/>
        <v>146</v>
      </c>
      <c r="X18" s="184">
        <f t="shared" si="15"/>
        <v>2547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1734</v>
      </c>
      <c r="AZ18" s="184">
        <f>SUBTOTAL(9,AZ14:AZ17)</f>
        <v>3129</v>
      </c>
      <c r="BA18" s="184">
        <f>SUBTOTAL(9,BA14:BA17)</f>
        <v>3100</v>
      </c>
      <c r="BB18" s="184">
        <f>SUBTOTAL(9,BB14:BB17)</f>
        <v>1745</v>
      </c>
      <c r="BC18" s="184">
        <f>SUBTOTAL(9,BC14:BC17)</f>
        <v>146</v>
      </c>
      <c r="BD18" s="205">
        <f>IF(ISNUMBER(BA18/AZ18),BA18/AZ18," - ")</f>
        <v>0.99073186321508466</v>
      </c>
      <c r="BE18" s="206">
        <f>IF(ISNUMBER(BB18/BA18),BB18/BA18, " - ")</f>
        <v>0.56290322580645158</v>
      </c>
      <c r="BF18" s="206">
        <f>IF(ISNUMBER(BC18/BA18),BC18/BA18, " - ")</f>
        <v>4.7096774193548387E-2</v>
      </c>
      <c r="BG18" s="207">
        <f>IF(ISNUMBER((AY18+AZ18)/BA18),(AY18+AZ18)/BA18," - ")</f>
        <v>1.5687096774193547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5902</v>
      </c>
      <c r="J19" s="134">
        <f t="shared" si="18"/>
        <v>3446</v>
      </c>
      <c r="K19" s="134">
        <f t="shared" si="18"/>
        <v>3532</v>
      </c>
      <c r="L19" s="134">
        <f t="shared" si="18"/>
        <v>5816</v>
      </c>
      <c r="M19" s="134">
        <f t="shared" si="18"/>
        <v>489</v>
      </c>
      <c r="N19" s="134">
        <f t="shared" si="18"/>
        <v>2606</v>
      </c>
      <c r="O19" s="134">
        <f t="shared" si="18"/>
        <v>496</v>
      </c>
      <c r="P19" s="134">
        <f t="shared" si="18"/>
        <v>266</v>
      </c>
      <c r="Q19" s="134">
        <f t="shared" si="18"/>
        <v>498</v>
      </c>
      <c r="R19" s="134">
        <f t="shared" si="18"/>
        <v>5149</v>
      </c>
      <c r="S19" s="134">
        <f t="shared" si="18"/>
        <v>4657</v>
      </c>
      <c r="T19" s="134">
        <f t="shared" si="18"/>
        <v>4204</v>
      </c>
      <c r="U19" s="134">
        <f t="shared" si="18"/>
        <v>4121</v>
      </c>
      <c r="V19" s="134">
        <f t="shared" si="18"/>
        <v>4722</v>
      </c>
      <c r="W19" s="134">
        <f t="shared" si="18"/>
        <v>452</v>
      </c>
      <c r="X19" s="134">
        <f t="shared" si="18"/>
        <v>2928</v>
      </c>
      <c r="Y19" s="134">
        <f t="shared" si="18"/>
        <v>75</v>
      </c>
      <c r="Z19" s="134">
        <f t="shared" si="18"/>
        <v>105</v>
      </c>
      <c r="AA19" s="134">
        <f t="shared" si="18"/>
        <v>91</v>
      </c>
      <c r="AB19" s="134">
        <f t="shared" si="18"/>
        <v>89</v>
      </c>
      <c r="AC19" s="134">
        <f t="shared" si="18"/>
        <v>0</v>
      </c>
      <c r="AD19" s="134">
        <f t="shared" si="18"/>
        <v>0</v>
      </c>
      <c r="AE19" s="134">
        <f t="shared" si="18"/>
        <v>0</v>
      </c>
      <c r="AF19" s="134">
        <f t="shared" si="18"/>
        <v>0</v>
      </c>
      <c r="AG19" s="134">
        <f t="shared" si="18"/>
        <v>86</v>
      </c>
      <c r="AH19" s="134">
        <f t="shared" si="18"/>
        <v>89</v>
      </c>
      <c r="AI19" s="134">
        <f t="shared" si="18"/>
        <v>98</v>
      </c>
      <c r="AJ19" s="134">
        <f t="shared" si="18"/>
        <v>77</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4743</v>
      </c>
      <c r="AZ19" s="134">
        <f>SUBTOTAL(9,AZ9:AZ18)</f>
        <v>4293</v>
      </c>
      <c r="BA19" s="134">
        <f>SUBTOTAL(9,BA9:BA18)</f>
        <v>4219</v>
      </c>
      <c r="BB19" s="134">
        <f>SUBTOTAL(9,BB9:BB18)</f>
        <v>4799</v>
      </c>
      <c r="BC19" s="135">
        <f>SUBTOTAL(9,BC9:BC18)</f>
        <v>532</v>
      </c>
      <c r="BD19" s="213">
        <f>IF(ISNUMBER(BA19/AZ19),BA19/AZ19," - ")</f>
        <v>0.98276263685068721</v>
      </c>
      <c r="BE19" s="210">
        <f>IF(ISNUMBER(BB19/BA19),BB19/BA19, " - ")</f>
        <v>1.1374733349134867</v>
      </c>
      <c r="BF19" s="210">
        <f>IF(ISNUMBER(BC19/BA19),BC19/BA19, " - ")</f>
        <v>0.12609623133443945</v>
      </c>
      <c r="BG19" s="135">
        <f>IF(ISNUMBER((AY19+AZ19)/BA19),(AY19+AZ19)/BA19," - ")</f>
        <v>2.1417397487556293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hYPsxXQAQfB5KBGKmOiw8VnFdSBhwSlFGQht7/vmXIwpInzv5TCBnWh22m9TJz/PkJoMi+jIDTPIKRnQrs9LQ==" saltValue="bgNBdOiW5NHvnhqysDbqZ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0tILRUfcamKwmleweymhbLHPsMevBoNs5pKStq5+dHK2hY/iI3dc6SJD/4831MCueCQl0wqv6gzMr/ILheR3Wg==" saltValue="K9QJ30kGyxnHyhOL2sMwv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VELEZ-MALAGA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237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89</v>
      </c>
      <c r="AI12" s="334" t="str">
        <f>IF(ISNUMBER(Datos!CD12),Datos!CD12,"-")</f>
        <v>-</v>
      </c>
      <c r="AJ12" s="334" t="str">
        <f>IF(ISNUMBER(Datos!EN12),Datos!EN12," - ")</f>
        <v xml:space="preserve"> - </v>
      </c>
      <c r="AK12" s="334"/>
      <c r="AL12" s="479"/>
      <c r="AM12" s="335">
        <f>IF(ISNUMBER(Datos!R12),Datos!R12," - ")</f>
        <v>5061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313</v>
      </c>
      <c r="BD12" s="229">
        <f>IF(ISNUMBER(Datos!N12),Datos!N12," - ")</f>
        <v>417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0.9667318982387475</v>
      </c>
      <c r="BH12" s="260">
        <f>IF(ISNUMBER(((IF(J_V="SI",Datos!L12/Datos!K12,(Datos!L12+Datos!AB12)/(Datos!K12+Datos!AA12)))*11)/factor_trimestre),((IF(J_V="SI",Datos!L12/Datos!K12,(Datos!L12+Datos!AB12)/(Datos!K12+Datos!AA12)))*11)/factor_trimestre," - ")</f>
        <v>10.915991902834008</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-4.491413474240423E-2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237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475</v>
      </c>
      <c r="AD13" s="899">
        <f t="shared" si="1"/>
        <v>0</v>
      </c>
      <c r="AE13" s="899">
        <f t="shared" si="1"/>
        <v>0</v>
      </c>
      <c r="AF13" s="899">
        <f t="shared" si="1"/>
        <v>9</v>
      </c>
      <c r="AG13" s="899">
        <f t="shared" si="1"/>
        <v>0</v>
      </c>
      <c r="AH13" s="899">
        <f t="shared" si="1"/>
        <v>89</v>
      </c>
      <c r="AI13" s="899">
        <f t="shared" si="1"/>
        <v>0</v>
      </c>
      <c r="AJ13" s="899">
        <f t="shared" si="1"/>
        <v>0</v>
      </c>
      <c r="AK13" s="899">
        <f t="shared" si="1"/>
        <v>0</v>
      </c>
      <c r="AL13" s="899">
        <f t="shared" si="1"/>
        <v>0</v>
      </c>
      <c r="AM13" s="899">
        <f t="shared" si="1"/>
        <v>5061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316</v>
      </c>
      <c r="BD13" s="899">
        <f t="shared" si="1"/>
        <v>418</v>
      </c>
      <c r="BE13" s="899">
        <f t="shared" si="1"/>
        <v>0</v>
      </c>
      <c r="BF13" s="899">
        <f t="shared" si="1"/>
        <v>0</v>
      </c>
      <c r="BG13" s="899">
        <f>IF(ISNUMBER(Datos!K13/Datos!J13),Datos!K13/Datos!J13," - ")</f>
        <v>0.97619047619047616</v>
      </c>
      <c r="BH13" s="903">
        <f>IF(ISNUMBER(((Datos!L13/Datos!K13)*11)/factor_trimestre),((Datos!L13/Datos!K13)*11)/factor_trimestre," - ")</f>
        <v>11.690687361419069</v>
      </c>
      <c r="BI13" s="899">
        <f>IF(ISNUMBER('Resol  Asuntos'!D13/NºAsuntos!G13),'Resol  Asuntos'!D13/NºAsuntos!G13," - ")</f>
        <v>0.31822759315206445</v>
      </c>
      <c r="BJ13" s="899" t="str">
        <f>IF(ISNUMBER(Datos!CI13/Datos!CJ13),Datos!CI13/Datos!CJ13," - ")</f>
        <v xml:space="preserve"> - </v>
      </c>
      <c r="BK13" s="899">
        <f>SUBTOTAL(9,BK8:BK12)</f>
        <v>0</v>
      </c>
      <c r="BL13" s="899">
        <f>IF(ISNUMBER((I13-AB13+L13)/(F13)),(I13-AB13+L13)/(F13)," - ")</f>
        <v>-0.7142857142857143</v>
      </c>
      <c r="BM13" s="904">
        <f>SUBTOTAL(9,BM9:BM12)</f>
        <v>-4.491413474240423E-2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2341</v>
      </c>
      <c r="G16" s="598">
        <f>IF(ISNUMBER(IF(D_I="SI",Datos!I16,Datos!I16+Datos!AC16)),IF(D_I="SI",Datos!I16,Datos!I16+Datos!AC16)," - ")</f>
        <v>2341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2519</v>
      </c>
      <c r="AC16" s="226">
        <f>IF(ISNUMBER(Datos!Q16),Datos!Q16," - ")</f>
        <v>22</v>
      </c>
      <c r="AD16" s="334"/>
      <c r="AE16" s="484"/>
      <c r="AF16" s="596">
        <f>IF(ISNUMBER(IF(D_I="SI",Datos!L16,Datos!L16+Datos!AF16)),IF(D_I="SI",Datos!L16,Datos!L16+Datos!AF16)," - ")</f>
        <v>2240</v>
      </c>
      <c r="AG16" s="334"/>
      <c r="AH16" s="334"/>
      <c r="AI16" s="334"/>
      <c r="AJ16" s="334"/>
      <c r="AK16" s="334"/>
      <c r="AL16" s="479"/>
      <c r="AM16" s="335">
        <f>IF(ISNUMBER(Datos!R16),Datos!R16," - ")</f>
        <v>84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153</v>
      </c>
      <c r="BD16" s="229">
        <f>IF(ISNUMBER(Datos!N16),Datos!N16," - ")</f>
        <v>2115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1.0417700578990901</v>
      </c>
      <c r="BH16" s="260">
        <f>IF(ISNUMBER(((IF(D_I="SI",Datos!L16/Datos!K16,(Datos!L16+Datos!AF16)/(Datos!K16+Datos!AE16)))*11)/factor_trimestre),((IF(D_I="SI",Datos!L16/Datos!K16,(Datos!L16+Datos!AF16)/(Datos!K16+Datos!AE16)))*11)/factor_trimestre," - ")</f>
        <v>2.6677252878126243</v>
      </c>
      <c r="BI16" s="243">
        <f>IF(ISNUMBER('Resol  Asuntos'!D16/NºAsuntos!G16),'Resol  Asuntos'!D16/NºAsuntos!G16," - ")</f>
        <v>6.0738388249305282E-2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111</v>
      </c>
      <c r="AC17" s="226">
        <f>IF(ISNUMBER(Datos!Q17),Datos!Q17," - ")</f>
        <v>1</v>
      </c>
      <c r="AD17" s="334"/>
      <c r="AE17" s="484"/>
      <c r="AF17" s="332">
        <f>IF(ISNUMBER(Datos!L17),Datos!L17,"-")</f>
        <v>61</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1.0673076923076923</v>
      </c>
      <c r="BH17" s="260">
        <f>IF(ISNUMBER(((IF(D_I="SI",Datos!L17/Datos!K17,(Datos!L17+Datos!AF17)/(Datos!K17+Datos!AE17)))*11)/factor_trimestre),((IF(D_I="SI",Datos!L17/Datos!K17,(Datos!L17+Datos!AF17)/(Datos!K17+Datos!AE17)))*11)/factor_trimestre," - ")</f>
        <v>1.6486486486486489</v>
      </c>
      <c r="BI17" s="243">
        <f>IF(ISNUMBER('Resol  Asuntos'!D17/NºAsuntos!G17),'Resol  Asuntos'!D17/NºAsuntos!G17," - ")</f>
        <v>0.18018018018018017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2341</v>
      </c>
      <c r="G18" s="898">
        <f>SUBTOTAL(9,G15:G17)</f>
        <v>2409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2630</v>
      </c>
      <c r="AC18" s="899">
        <f t="shared" si="4"/>
        <v>23</v>
      </c>
      <c r="AD18" s="899">
        <f t="shared" si="4"/>
        <v>0</v>
      </c>
      <c r="AE18" s="899">
        <f t="shared" si="4"/>
        <v>0</v>
      </c>
      <c r="AF18" s="899">
        <f t="shared" si="4"/>
        <v>2301</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173</v>
      </c>
      <c r="BD18" s="899">
        <f t="shared" si="4"/>
        <v>2188</v>
      </c>
      <c r="BE18" s="899">
        <f t="shared" si="4"/>
        <v>0</v>
      </c>
      <c r="BF18" s="899">
        <f t="shared" si="4"/>
        <v>0</v>
      </c>
      <c r="BG18" s="899">
        <f>IF(ISNUMBER(Datos!K18/Datos!J18),Datos!K18/Datos!J18," - ")</f>
        <v>1.0428231562252182</v>
      </c>
      <c r="BH18" s="903">
        <f>IF(ISNUMBER(((Datos!L18/Datos!K18)*11)/factor_trimestre),((Datos!L18/Datos!K18)*11)/factor_trimestre," - ")</f>
        <v>2.6247148288973383</v>
      </c>
      <c r="BI18" s="899">
        <f>SUBTOTAL(9,BI15:BI17)</f>
        <v>0.24091856842948545</v>
      </c>
      <c r="BJ18" s="899">
        <f>SUBTOTAL(9,BJ15:BJ17)</f>
        <v>0</v>
      </c>
      <c r="BK18" s="899">
        <f>SUBTOTAL(9,BK15:BK17)</f>
        <v>0</v>
      </c>
      <c r="BL18" s="899">
        <f>IF(ISNUMBER((I18-AB18+L18)/(F18)),(I18-AB18+L18)/(F18)," - ")</f>
        <v>-1.1234515164459633</v>
      </c>
      <c r="BM18" s="905">
        <f>IF(ISNUMBER((Datos!P18-Datos!Q18)/(Datos!R18-Datos!P18+Datos!Q18)),(Datos!P18-Datos!Q18)/(Datos!R18-Datos!P18+Datos!Q18)," - ")</f>
        <v>7.3170731707317069E-2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10</v>
      </c>
      <c r="F19" s="820">
        <f t="shared" si="6"/>
        <v>2348</v>
      </c>
      <c r="G19" s="820">
        <f t="shared" si="6"/>
        <v>2416</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266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2635</v>
      </c>
      <c r="AC19" s="821">
        <f t="shared" si="7"/>
        <v>498</v>
      </c>
      <c r="AD19" s="821">
        <f t="shared" si="7"/>
        <v>0</v>
      </c>
      <c r="AE19" s="821">
        <f t="shared" si="7"/>
        <v>0</v>
      </c>
      <c r="AF19" s="828">
        <f t="shared" si="7"/>
        <v>2310</v>
      </c>
      <c r="AG19" s="828">
        <f t="shared" si="7"/>
        <v>0</v>
      </c>
      <c r="AH19" s="828">
        <f t="shared" si="7"/>
        <v>89</v>
      </c>
      <c r="AI19" s="828">
        <f t="shared" si="7"/>
        <v>0</v>
      </c>
      <c r="AJ19" s="821">
        <f t="shared" si="7"/>
        <v>0</v>
      </c>
      <c r="AK19" s="828">
        <f t="shared" si="7"/>
        <v>0</v>
      </c>
      <c r="AL19" s="828">
        <f t="shared" si="7"/>
        <v>0</v>
      </c>
      <c r="AM19" s="828">
        <f t="shared" si="7"/>
        <v>5149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489</v>
      </c>
      <c r="BD19" s="820">
        <f t="shared" si="7"/>
        <v>2606</v>
      </c>
      <c r="BE19" s="820">
        <f t="shared" si="7"/>
        <v>0</v>
      </c>
      <c r="BF19" s="830">
        <f t="shared" si="7"/>
        <v>0</v>
      </c>
      <c r="BG19" s="915">
        <f>IF(ISNUMBER(Datos!K19/Datos!J19),Datos!K19/Datos!J19," - ")</f>
        <v>1.0249564712710388</v>
      </c>
      <c r="BH19" s="915">
        <f>IF(ISNUMBER(((Datos!L19/Datos!K19)*11)/factor_trimestre),((Datos!L19/Datos!K19)*11)/factor_trimestre," - ")</f>
        <v>4.9399773499433755</v>
      </c>
      <c r="BI19" s="813">
        <f>IF(ISNUMBER(Datos!J19/Datos!I19),Datos!J19/Datos!I19," - ")</f>
        <v>0.58386987461877327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-1.1222316865417377</v>
      </c>
      <c r="BM19" s="889">
        <f>IF(ISNUMBER((Datos!P19-Datos!Q19+R19)/(Datos!R19-Datos!P19+Datos!Q19-R19)),(Datos!P19-Datos!Q19+R19)/(Datos!R19-Datos!P19+Datos!Q19-R19)," - ")</f>
        <v>-4.311466270209998E-2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2.6352313834736494</v>
      </c>
      <c r="F21" s="551">
        <f>IF(ISNUMBER(STDEV(F8:F18)),STDEV(F8:F18),"-")</f>
        <v>1347.5355282885866</v>
      </c>
      <c r="G21" s="552">
        <f>IF(ISNUMBER(STDEV(G8:G18)),STDEV(G8:G18),"-")</f>
        <v>1286.3358037464402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1389.2490777394814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135.76302884069727</v>
      </c>
      <c r="BD21" s="551"/>
      <c r="BE21" s="551">
        <f>IF(ISNUMBER(STDEV(BE8:BE18)),STDEV(BE8:BE18),"-")</f>
        <v>0</v>
      </c>
      <c r="BF21" s="556">
        <f>IF(ISNUMBER(STDEV(BF8:BF18)),STDEV(BF8:BF18),"-")</f>
        <v>0</v>
      </c>
      <c r="BG21" s="775">
        <f>IF(ISNUMBER(STDEV(BG8:BG18)),STDEV(BG8:BG18),"-")</f>
        <v>0.13064606360764164</v>
      </c>
      <c r="BH21" s="776">
        <f>IF(ISNUMBER(STDEV(BH8:BH18)),STDEV(BH8:BH18),"-")</f>
        <v>4.4307387722790104</v>
      </c>
      <c r="BI21" s="249">
        <f>IF(ISNUMBER(STDEV(BI8:BI18)),STDEV(BI8:BI18),"-")</f>
        <v>0.10868718682906213</v>
      </c>
      <c r="BJ21" s="230" t="str">
        <f>IF(ISNUMBER(BL21/BM21),BL21/BM21," - ")</f>
        <v xml:space="preserve"> - </v>
      </c>
      <c r="BK21" s="575"/>
      <c r="BL21" s="559">
        <f>IF(ISNUMBER(STDEV(BL8:BL18)),STDEV(BL8:BL18),"-")</f>
        <v>0.28932391333714569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rT9tgILegntcLXjtCnBUP9CFTBH70OsTo+fkZ60FES4RKnxVEEWXe2hI/tm16GcZk5mC6apndwo3337p1Kgu4Q==" saltValue="2/0fggJywK7yobR8+L1nx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VELEZ-MALAGA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475</v>
      </c>
      <c r="AA12" s="332" t="str">
        <f>IF(ISNUMBER(IF(J_V="SI",Datos!L12,Datos!L12+Datos!AB12)-IF(Monitorios="SI",Datos!CD12,0)),
                          IF(J_V="SI",Datos!L12,Datos!L12+Datos!AB12)-IF(Monitorios="SI",Datos!CD12,0),
                          " - ")</f>
        <v xml:space="preserve"> - </v>
      </c>
      <c r="AB12" s="334"/>
      <c r="AC12" s="334"/>
      <c r="AD12" s="484"/>
      <c r="AE12" s="484">
        <f>IF(ISNUMBER(Datos!R12),Datos!R12," - ")</f>
        <v>5061</v>
      </c>
      <c r="AF12" s="229" t="str">
        <f>IF(ISNUMBER(Datos!BV12),Datos!BV12," - ")</f>
        <v xml:space="preserve"> - </v>
      </c>
      <c r="AG12" s="225" t="str">
        <f>IF(ISNUMBER(Datos!DV12),Datos!DV12," - ")</f>
        <v xml:space="preserve"> - </v>
      </c>
      <c r="AH12" s="298"/>
      <c r="AI12" s="227"/>
      <c r="AJ12" s="225">
        <f>IF(ISNUMBER(Datos!M12),Datos!M12," - ")</f>
        <v>313</v>
      </c>
      <c r="AK12" s="229">
        <f>IF(ISNUMBER(Datos!N12),Datos!N12," - ")</f>
        <v>417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10.915991902834008</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-4.491413474240423E-2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237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475</v>
      </c>
      <c r="AA13" s="900">
        <f t="shared" si="2"/>
        <v>9</v>
      </c>
      <c r="AB13" s="900">
        <f t="shared" si="2"/>
        <v>0</v>
      </c>
      <c r="AC13" s="900">
        <f t="shared" si="2"/>
        <v>0</v>
      </c>
      <c r="AD13" s="900">
        <f t="shared" si="2"/>
        <v>0</v>
      </c>
      <c r="AE13" s="900">
        <f t="shared" si="2"/>
        <v>5061</v>
      </c>
      <c r="AF13" s="908">
        <f t="shared" si="2"/>
        <v>0</v>
      </c>
      <c r="AG13" s="908">
        <f t="shared" si="2"/>
        <v>0</v>
      </c>
      <c r="AH13" s="908">
        <f t="shared" si="2"/>
        <v>0</v>
      </c>
      <c r="AI13" s="908">
        <f t="shared" si="2"/>
        <v>0</v>
      </c>
      <c r="AJ13" s="908">
        <f t="shared" si="2"/>
        <v>316</v>
      </c>
      <c r="AK13" s="908">
        <f t="shared" si="2"/>
        <v>418</v>
      </c>
      <c r="AL13" s="908">
        <f t="shared" si="2"/>
        <v>0</v>
      </c>
      <c r="AM13" s="908">
        <f t="shared" si="2"/>
        <v>0</v>
      </c>
      <c r="AN13" s="908">
        <f t="shared" si="2"/>
        <v>0</v>
      </c>
      <c r="AO13" s="904">
        <f>IF(ISNUMBER(((NºAsuntos!I13/NºAsuntos!G13)*11)/factor_trimestre),((NºAsuntos!I13/NºAsuntos!G13)*11)/factor_trimestre," - ")</f>
        <v>10.888217522658611</v>
      </c>
      <c r="AP13" s="910" t="str">
        <f>IF(ISNUMBER(Datos!CI13/Datos!CJ13),Datos!CI13/Datos!CJ13," - ")</f>
        <v xml:space="preserve"> - </v>
      </c>
      <c r="AQ13" s="928">
        <f t="shared" ref="AQ13:AV13" si="3">SUBTOTAL(9,AQ9:AQ12)</f>
        <v>0</v>
      </c>
      <c r="AR13" s="928">
        <f t="shared" si="3"/>
        <v>-4.491413474240423E-2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5</v>
      </c>
      <c r="B16" s="507" t="s">
        <v>396</v>
      </c>
      <c r="C16" s="160" t="str">
        <f>Datos!A16</f>
        <v xml:space="preserve">Jdos. 1ª Instª. e Instr.                        </v>
      </c>
      <c r="D16" s="502"/>
      <c r="E16" s="1168">
        <f>IF(ISNUMBER(Datos!AQ16),Datos!AQ16," - ")</f>
        <v>5</v>
      </c>
      <c r="F16" s="333">
        <f>IF(ISNUMBER(AA16+Y16-Datos!J16-K15),AA16+Y16-Datos!J16-K15," - ")</f>
        <v>2341</v>
      </c>
      <c r="G16" s="225">
        <f>IF(ISNUMBER(IF(D_I="SI",Datos!I16,Datos!I16+Datos!AC16)),IF(D_I="SI",Datos!I16,Datos!I16+Datos!AC16)," - ")</f>
        <v>2341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2519</v>
      </c>
      <c r="Z16" s="619">
        <f>IF(ISNUMBER(Datos!Q16),Datos!Q16," - ")</f>
        <v>22</v>
      </c>
      <c r="AA16" s="332">
        <f>IF(ISNUMBER(IF(D_I="SI",Datos!L16,Datos!L16+Datos!AF16)),IF(D_I="SI",Datos!L16,Datos!L16+Datos!AF16)," - ")</f>
        <v>2240</v>
      </c>
      <c r="AB16" s="334"/>
      <c r="AC16" s="334"/>
      <c r="AD16" s="484"/>
      <c r="AE16" s="484">
        <f>IF(ISNUMBER(Datos!R16),Datos!R16," - ")</f>
        <v>84</v>
      </c>
      <c r="AF16" s="229" t="str">
        <f>IF(ISNUMBER(Datos!BV16),Datos!BV16," - ")</f>
        <v xml:space="preserve"> - </v>
      </c>
      <c r="AG16" s="225"/>
      <c r="AH16" s="298"/>
      <c r="AI16" s="227"/>
      <c r="AJ16" s="225">
        <f>IF(ISNUMBER(Datos!M16),Datos!M16," - ")</f>
        <v>153</v>
      </c>
      <c r="AK16" s="229">
        <f>IF(ISNUMBER(Datos!N16),Datos!N16," - ")</f>
        <v>2115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2.6677252878126243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111</v>
      </c>
      <c r="Z17" s="619">
        <f>IF(ISNUMBER(Datos!Q17),Datos!Q17," - ")</f>
        <v>1</v>
      </c>
      <c r="AA17" s="332">
        <f>IF(ISNUMBER(Datos!L17),Datos!L17,"-")</f>
        <v>61</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20</v>
      </c>
      <c r="AK17" s="229">
        <f>IF(ISNUMBER(Datos!N17),Datos!N17," - ")</f>
        <v>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1.6486486486486489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2341</v>
      </c>
      <c r="G18" s="898">
        <f>SUBTOTAL(9,G15:G17)</f>
        <v>2409</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2630</v>
      </c>
      <c r="Z18" s="932">
        <f t="shared" si="5"/>
        <v>23</v>
      </c>
      <c r="AA18" s="932">
        <f t="shared" si="5"/>
        <v>2301</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173</v>
      </c>
      <c r="AK18" s="932">
        <f t="shared" si="5"/>
        <v>2188</v>
      </c>
      <c r="AL18" s="932">
        <f t="shared" si="5"/>
        <v>0</v>
      </c>
      <c r="AM18" s="932">
        <f t="shared" si="5"/>
        <v>0</v>
      </c>
      <c r="AN18" s="932">
        <f t="shared" si="5"/>
        <v>0</v>
      </c>
      <c r="AO18" s="934">
        <f>IF(ISNUMBER(((NºAsuntos!I18/NºAsuntos!G18)*11)/factor_trimestre),((NºAsuntos!I18/NºAsuntos!G18)*11)/factor_trimestre," - ")</f>
        <v>2.6247148288973383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10</v>
      </c>
      <c r="F19" s="820">
        <f t="shared" si="7"/>
        <v>2348</v>
      </c>
      <c r="G19" s="820">
        <f t="shared" si="7"/>
        <v>2416</v>
      </c>
      <c r="H19" s="821">
        <f t="shared" si="7"/>
        <v>0</v>
      </c>
      <c r="I19" s="820">
        <f t="shared" si="7"/>
        <v>0</v>
      </c>
      <c r="J19" s="822">
        <f t="shared" si="7"/>
        <v>0</v>
      </c>
      <c r="K19" s="820">
        <f t="shared" si="7"/>
        <v>0</v>
      </c>
      <c r="L19" s="823">
        <f t="shared" si="7"/>
        <v>0</v>
      </c>
      <c r="M19" s="820">
        <f t="shared" si="7"/>
        <v>0</v>
      </c>
      <c r="N19" s="821">
        <f t="shared" si="7"/>
        <v>266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2635</v>
      </c>
      <c r="Z19" s="827">
        <f t="shared" si="8"/>
        <v>498</v>
      </c>
      <c r="AA19" s="828">
        <f t="shared" si="8"/>
        <v>2310</v>
      </c>
      <c r="AB19" s="828">
        <f t="shared" si="8"/>
        <v>0</v>
      </c>
      <c r="AC19" s="828">
        <f t="shared" si="8"/>
        <v>0</v>
      </c>
      <c r="AD19" s="829">
        <f t="shared" si="8"/>
        <v>0</v>
      </c>
      <c r="AE19" s="829">
        <f t="shared" si="8"/>
        <v>5149</v>
      </c>
      <c r="AF19" s="830">
        <f t="shared" si="8"/>
        <v>0</v>
      </c>
      <c r="AG19" s="831">
        <f t="shared" si="8"/>
        <v>0</v>
      </c>
      <c r="AH19" s="832">
        <f t="shared" si="8"/>
        <v>0</v>
      </c>
      <c r="AI19" s="830">
        <f t="shared" si="8"/>
        <v>0</v>
      </c>
      <c r="AJ19" s="820">
        <f t="shared" si="8"/>
        <v>489</v>
      </c>
      <c r="AK19" s="820">
        <f t="shared" si="8"/>
        <v>2606</v>
      </c>
      <c r="AL19" s="820">
        <f t="shared" si="8"/>
        <v>0</v>
      </c>
      <c r="AM19" s="833">
        <f t="shared" si="8"/>
        <v>0</v>
      </c>
      <c r="AN19" s="823">
        <f>IF(ISNUMBER(Datos!K19/Datos!J19),Datos!K19/Datos!J19," - ")</f>
        <v>1.0249564712710388</v>
      </c>
      <c r="AO19" s="823">
        <f>IF(ISNUMBER(FIND("06",Criterios!A8,1)),(IF(ISNUMBER(((Datos!R19/Datos!Q19)*11)/factor_trimestre),((Datos!R19/Datos!Q19)*11)/factor_trimestre," - ")),(IF(ISNUMBER(((Datos!L19/Datos!K19)*11)/factor_trimestre),((Datos!L19/Datos!K19)*11)/factor_trimestre," - ")))</f>
        <v>4.9399773499433755</v>
      </c>
      <c r="AP19" s="834" t="str">
        <f>IF(ISNUMBER(Datos!CI19/Datos!CJ19),Datos!CI19/Datos!CJ19," - ")</f>
        <v xml:space="preserve"> - </v>
      </c>
      <c r="AQ19" s="834">
        <f>IF(OR(ISNUMBER(FIND("01",Criterios!A8,1)),ISNUMBER(FIND("02",Criterios!A8,1)),ISNUMBER(FIND("03",Criterios!A8,1)),ISNUMBER(FIND("04",Criterios!A8,1))),(J19-Y19+K19)/(F19-K19),(I19-Y19+K19)/(F19-K19))</f>
        <v>-1.1222316865417377</v>
      </c>
      <c r="AR19" s="834">
        <f>IF(ISNUMBER((Datos!P19-Datos!Q19+O19)/(Datos!R19-Datos!P19+Datos!Q19-O19)),(Datos!P19-Datos!Q19+O19)/(Datos!R19-Datos!P19+Datos!Q19-O19)," - ")</f>
        <v>-4.311466270209998E-2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1347.5355282885866</v>
      </c>
      <c r="G21" s="552">
        <f>IF(ISNUMBER(STDEV(G8:G18)),STDEV(G8:G18),"-")</f>
        <v>1286.3358037464402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135.76302884069727</v>
      </c>
      <c r="AK21" s="252"/>
      <c r="AL21" s="252">
        <f>IF(ISNUMBER(STDEV(AL8:AL18)),STDEV(AL8:AL18),"-")</f>
        <v>0</v>
      </c>
      <c r="AM21" s="254">
        <f>IF(ISNUMBER(STDEV(AM8:AM18)),STDEV(AM8:AM18),"-")</f>
        <v>0</v>
      </c>
      <c r="AN21" s="539">
        <f>IF(ISNUMBER(STDEV(AN8:AN18)),STDEV(AN8:AN18),"-")</f>
        <v>0</v>
      </c>
      <c r="AO21" s="540">
        <f>IF(ISNUMBER(STDEV(AO8:AO18)),STDEV(AO8:AO18),"-")</f>
        <v>4.2256168890250612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HoCyxRA64AlimaYk2J3rr0iEFDMi9vpq3hWqfNOi071OEMhXBak5/79Mi9t9Mug5xs3QfcoVcR5KQuff0MT30g==" saltValue="exRGUkiitt3fCzR4g5JeY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TofimnLing2I2wbuB/fvpD+nS+I0v1qMGn1KSVE5RomdPFDNXIezX5TfxwNb+t6jPZhCASgKfcsSp2WbtXmqSQ==" saltValue="a28kr6t7otC+Fq2rWZJI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CGS+69b5Ve8H8ISAMw3yUQR9E12YUXT5a9iFzPcL55KmiOi77sDP9YU2kvzVT/Vz6QCs47HVbVaWYZhRZiDw==" saltValue="v9cCX1zWYQVrzyKk+zG4G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VELEZ-MALAGA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0.31822759315206445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0.22502088907849851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ESwlolDeG/iqrPsV68jlS3M8yR38Pd5blRy6CW5cuoN+Qyv3Dzr9kpr5bSnT4ghSBq4rfUrXD4C7nuVQ3y63bg==" saltValue="cxa0Tj6AoF3UPYIhid06D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wSU+RBuhNOFZxFOqjZM0s8KQ2GVWdGk5yZbHk6KgqvC8zJHYN/odDDYc2rhRG/MrRdCpAxdWYQJd2BYlRY1YQ==" saltValue="GE5ZHgm9glbnTzIulRv6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VELEZ-MALAGA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7</v>
      </c>
      <c r="D10" s="404">
        <f>IF(ISNUMBER(C10/Datos!BH10),C10/Datos!BH10," - ")</f>
        <v>7</v>
      </c>
      <c r="E10" s="403">
        <f>IF(ISNUMBER(Datos!J10),Datos!J10," - ")</f>
        <v>7</v>
      </c>
      <c r="F10" s="404">
        <f>IF(ISNUMBER(E10/B10),E10/B10," - ")</f>
        <v>7</v>
      </c>
      <c r="G10" s="403">
        <f>IF(ISNUMBER(Datos!K10),Datos!K10," - ")</f>
        <v>5</v>
      </c>
      <c r="H10" s="404">
        <f>IF(ISNUMBER(G10/B10),G10/B10," - ")</f>
        <v>5</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5</v>
      </c>
      <c r="C12" s="403">
        <f>IF(ISNUMBER(IF(J_V="SI",Datos!I12,Datos!I12+Datos!Y12)),IF(J_V="SI",Datos!I12,Datos!I12+Datos!Y12)," - ")</f>
        <v>3561</v>
      </c>
      <c r="D12" s="404">
        <f>IF(ISNUMBER(C12/Datos!BH12),C12/Datos!BH12," - ")</f>
        <v>712.2</v>
      </c>
      <c r="E12" s="403">
        <f>IF(ISNUMBER(IF(J_V="SI",Datos!J12,Datos!J12+Datos!Z12)),IF(J_V="SI",Datos!J12,Datos!J12+Datos!Z12)," - ")</f>
        <v>1022</v>
      </c>
      <c r="F12" s="404">
        <f>IF(ISNUMBER(E12/B12),E12/B12," - ")</f>
        <v>204.4</v>
      </c>
      <c r="G12" s="403">
        <f>IF(ISNUMBER(IF(J_V="SI",Datos!K12,Datos!K12+Datos!AA12)),IF(J_V="SI",Datos!K12,Datos!K12+Datos!AA12)," - ")</f>
        <v>988</v>
      </c>
      <c r="H12" s="404">
        <f>IF(ISNUMBER(G12/B12),G12/B12," - ")</f>
        <v>197.6</v>
      </c>
      <c r="I12" s="403">
        <f>IF(ISNUMBER(IF(J_V="SI",Datos!L12,Datos!L12+Datos!AB12)),IF(J_V="SI",Datos!L12,Datos!L12+Datos!AB12)," - ")</f>
        <v>3595</v>
      </c>
      <c r="J12" s="404">
        <f>IF(ISNUMBER(I12/B12),I12/B12," - ")</f>
        <v>719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3568</v>
      </c>
      <c r="D13" s="850" t="str">
        <f>IF(ISNUMBER(C13/Datos!BI13),C13/Datos!BI13," - ")</f>
        <v xml:space="preserve"> - </v>
      </c>
      <c r="E13" s="849">
        <f>SUBTOTAL(9,E8:E12)</f>
        <v>1029</v>
      </c>
      <c r="F13" s="850">
        <f>IF(ISNUMBER(E13/B13),E13/B13," - ")</f>
        <v>205.8</v>
      </c>
      <c r="G13" s="849">
        <f>SUBTOTAL(9,G8:G12)</f>
        <v>993</v>
      </c>
      <c r="H13" s="850">
        <f>IF(ISNUMBER(G13/B13),G13/B13," - ")</f>
        <v>198.6</v>
      </c>
      <c r="I13" s="849">
        <f>SUBTOTAL(9,I8:I12)</f>
        <v>3604</v>
      </c>
      <c r="J13" s="850">
        <f>IF(ISNUMBER(I13/B13),I13/B13," - ")</f>
        <v>720.8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5</v>
      </c>
      <c r="C16" s="403">
        <f>IF(ISNUMBER(IF(D_I="SI",Datos!I16,Datos!I16+Datos!AC16)),IF(D_I="SI",Datos!I16,Datos!I16+Datos!AC16)," - ")</f>
        <v>2341</v>
      </c>
      <c r="D16" s="404">
        <f>IF(ISNUMBER(C16/Datos!BH16),C16/Datos!BH16," - ")</f>
        <v>468.2</v>
      </c>
      <c r="E16" s="403">
        <f>IF(ISNUMBER(IF(D_I="SI",Datos!J16,Datos!J16+Datos!AD16)),IF(D_I="SI",Datos!J16,Datos!J16+Datos!AD16)," - ")</f>
        <v>2418</v>
      </c>
      <c r="F16" s="404">
        <f>IF(ISNUMBER(E16/B16),E16/B16," - ")</f>
        <v>483.6</v>
      </c>
      <c r="G16" s="403">
        <f>IF(ISNUMBER(IF(D_I="SI",Datos!K16,Datos!K16+Datos!AE16)),IF(D_I="SI",Datos!K16,Datos!K16+Datos!AE16)," - ")</f>
        <v>2519</v>
      </c>
      <c r="H16" s="404">
        <f>IF(ISNUMBER(G16/B16),G16/B16," - ")</f>
        <v>503.8</v>
      </c>
      <c r="I16" s="403">
        <f>IF(ISNUMBER(IF(D_I="SI",Datos!L16,Datos!L16+Datos!AF16)),IF(D_I="SI",Datos!L16,Datos!L16+Datos!AF16)," - ")</f>
        <v>2240</v>
      </c>
      <c r="J16" s="404">
        <f>IF(ISNUMBER(I16/B16),I16/B16," - ")</f>
        <v>448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104</v>
      </c>
      <c r="F17" s="404">
        <f>IF(ISNUMBER(E17/B17),E17/B17," - ")</f>
        <v>104</v>
      </c>
      <c r="G17" s="403">
        <f>IF(ISNUMBER(IF(D_I="SI",Datos!K17,Datos!K17+Datos!AE17)),IF(D_I="SI",Datos!K17,Datos!K17+Datos!AE17)," - ")</f>
        <v>111</v>
      </c>
      <c r="H17" s="404">
        <f>IF(ISNUMBER(G17/B17),G17/B17," - ")</f>
        <v>111</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2409</v>
      </c>
      <c r="D18" s="850" t="str">
        <f>IF(ISNUMBER(C18/Datos!BI18),C18/Datos!BI18," - ")</f>
        <v xml:space="preserve"> - </v>
      </c>
      <c r="E18" s="849">
        <f>SUBTOTAL(9,E14:E17)</f>
        <v>2522</v>
      </c>
      <c r="F18" s="850">
        <f>IF(ISNUMBER(E18/B18),E18/B18," - ")</f>
        <v>504.4</v>
      </c>
      <c r="G18" s="849">
        <f>SUBTOTAL(9,G14:G17)</f>
        <v>2630</v>
      </c>
      <c r="H18" s="850">
        <f>IF(ISNUMBER(G18/B18),G18/B18," - ")</f>
        <v>526</v>
      </c>
      <c r="I18" s="849">
        <f>SUBTOTAL(9,I14:I17)</f>
        <v>2301</v>
      </c>
      <c r="J18" s="850">
        <f>IF(ISNUMBER(I18/B18),I18/B18," - ")</f>
        <v>460.2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5</v>
      </c>
      <c r="C19" s="794">
        <f>SUBTOTAL(9,C9:C18)</f>
        <v>5977</v>
      </c>
      <c r="D19" s="795" t="str">
        <f>IF(ISNUMBER(C19/Datos!BI19),C19/Datos!BI19," - ")</f>
        <v xml:space="preserve"> - </v>
      </c>
      <c r="E19" s="794">
        <f>SUBTOTAL(9,E9:E18)</f>
        <v>3551</v>
      </c>
      <c r="F19" s="795">
        <f>IF(ISNUMBER(E19/B19),E19/B19," - ")</f>
        <v>710.2</v>
      </c>
      <c r="G19" s="794">
        <f>SUBTOTAL(9,G9:G18)</f>
        <v>3623</v>
      </c>
      <c r="H19" s="795">
        <f>IF(ISNUMBER(G19/B19),G19/B19," - ")</f>
        <v>724.6</v>
      </c>
      <c r="I19" s="794">
        <f>SUBTOTAL(9,I9:I18)</f>
        <v>5905</v>
      </c>
      <c r="J19" s="795">
        <f>IF(ISNUMBER(I19/B19),I19/B19," - ")</f>
        <v>1181</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PYaiw5cQ/e5yvbwmBvppNK89me8roiak5jjXBLN1MtzGD7wtzamd6hFLSR3zvqkjtQznxyRaoEvb60yOPo30Jg==" saltValue="Uhn4eYoOgUBY63xDMapJ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VELEZ-MALAGA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313</v>
      </c>
      <c r="AM12" s="690">
        <f>IF(ISNUMBER(Datos!N12+DatosP!N16),Datos!N12+DatosP!N16," - ")</f>
        <v>417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10.915991902834008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-4.491413474240423E-2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237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475</v>
      </c>
      <c r="AE13" s="939">
        <f t="shared" si="1"/>
        <v>0</v>
      </c>
      <c r="AF13" s="939">
        <f t="shared" si="1"/>
        <v>9</v>
      </c>
      <c r="AG13" s="939">
        <f t="shared" si="1"/>
        <v>0</v>
      </c>
      <c r="AH13" s="939">
        <f t="shared" si="1"/>
        <v>5061</v>
      </c>
      <c r="AI13" s="939">
        <f t="shared" si="1"/>
        <v>0</v>
      </c>
      <c r="AJ13" s="939">
        <f t="shared" si="1"/>
        <v>0</v>
      </c>
      <c r="AK13" s="939">
        <f t="shared" si="1"/>
        <v>0</v>
      </c>
      <c r="AL13" s="939">
        <f t="shared" si="1"/>
        <v>316</v>
      </c>
      <c r="AM13" s="939">
        <f t="shared" si="1"/>
        <v>418</v>
      </c>
      <c r="AN13" s="939">
        <f t="shared" si="1"/>
        <v>0</v>
      </c>
      <c r="AO13" s="939">
        <f t="shared" si="1"/>
        <v>0</v>
      </c>
      <c r="AP13" s="944">
        <f>IF(ISNUMBER(((Datos!L13/Datos!K13)*11)/factor_trimestre),((Datos!L13/Datos!K13)*11)/factor_trimestre," - ")</f>
        <v>11.690687361419069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-0.7142857142857143</v>
      </c>
      <c r="AU13" s="939" t="str">
        <f>IF(ISNUMBER((DatosP!#REF!-DatosP!#REF!+DatosP!#REF!)/(DatosP!#REF!+DatosP!#REF!-DatosP!#REF!-DatosP!#REF!)),(DatosP!#REF!-DatosP!#REF!+DatosP!#REF!)/(DatosP!#REF!+DatosP!#REF!-DatosP!#REF!-DatosP!#REF!)," - ")</f>
        <v xml:space="preserve"> - </v>
      </c>
      <c r="AV13" s="945">
        <f>SUBTOTAL(9,AV9:AV12)</f>
        <v>-4.491413474240423E-2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2.6247148288973383</v>
      </c>
      <c r="AQ18" s="944">
        <f>IF(ISNUMBER(((Datos!M18/Datos!L18)*11)/factor_trimestre),((Datos!M18/Datos!L18)*11)/factor_trimestre," - ")</f>
        <v>0.2255541069100391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7.3170731707317069E-2</v>
      </c>
      <c r="AW18" s="946">
        <f>IF(ISNUMBER((Datos!Q18-Datos!R18)/(Datos!S18-Datos!Q18+Datos!R18)),(Datos!Q18-Datos!R18)/(Datos!S18-Datos!Q18+Datos!R18)," - ")</f>
        <v>-3.6131183991106167E-2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237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475</v>
      </c>
      <c r="AE19" s="957">
        <f t="shared" si="5"/>
        <v>0</v>
      </c>
      <c r="AF19" s="958">
        <f t="shared" si="5"/>
        <v>9</v>
      </c>
      <c r="AG19" s="958">
        <f t="shared" si="5"/>
        <v>0</v>
      </c>
      <c r="AH19" s="958">
        <f t="shared" si="5"/>
        <v>5061</v>
      </c>
      <c r="AI19" s="958">
        <f t="shared" si="5"/>
        <v>0</v>
      </c>
      <c r="AJ19" s="959">
        <f t="shared" si="5"/>
        <v>0</v>
      </c>
      <c r="AK19" s="959">
        <f t="shared" si="5"/>
        <v>0</v>
      </c>
      <c r="AL19" s="951">
        <f t="shared" si="5"/>
        <v>316</v>
      </c>
      <c r="AM19" s="951">
        <f t="shared" si="5"/>
        <v>418</v>
      </c>
      <c r="AN19" s="951">
        <f t="shared" si="5"/>
        <v>0</v>
      </c>
      <c r="AO19" s="951">
        <f t="shared" si="5"/>
        <v>0</v>
      </c>
      <c r="AP19" s="951">
        <f>IF(ISNUMBER(((Datos!L19/Datos!K19)*11)/factor_trimestre),((Datos!L19/Datos!K19)*11)/factor_trimestre," - ")</f>
        <v>4.9399773499433755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-0.7142857142857143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-4.311466270209998E-2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180.71893462870273</v>
      </c>
      <c r="AM21" s="736"/>
      <c r="AN21" s="736">
        <f>IF(ISNUMBER(STDEV(AN8:AN18)),STDEV(AN8:AN18),"-")</f>
        <v>0</v>
      </c>
      <c r="AO21" s="742">
        <f>IF(ISNUMBER(STDEV(AO8:AO18)),STDEV(AO8:AO18),"-")</f>
        <v>0</v>
      </c>
      <c r="AP21" s="779">
        <f>IF(ISNUMBER(STDEV(AP8:AP18)),STDEV(AP8:AP18),"-")</f>
        <v>4.3707208450377388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uN3klCjqoIWHNxpCs0ORPqZqL2JYBy/GTH6PbFnHZTTCNbMXXW3APzTfaWvBTRw+nJN0cc2LkTxqJCLn/pHXNQ==" saltValue="xYunYryvH0FWM2c1YLTmN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VELEZ-MALAGA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Ubnt6jvAcdF/h01k7J7fU1t84HRAKSUMbdocFCVUlpHQfblIKMW4yBYpbgCB4dFnhJhqZGpfMPT3Yhhaq1Xe5g==" saltValue="VluNaR8RXJay7hcNb3A6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VELEZ-MALAGA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5</v>
      </c>
      <c r="C12" s="410">
        <f>Datos!AQ12</f>
        <v>5</v>
      </c>
      <c r="D12" s="403">
        <f>IF(ISNUMBER(Datos!M12),Datos!M12," - ")</f>
        <v>313</v>
      </c>
      <c r="E12" s="404">
        <f t="shared" si="0"/>
        <v>62.6</v>
      </c>
      <c r="F12" s="403">
        <f>IF(ISNUMBER(Datos!N12),Datos!N12," - ")</f>
        <v>417</v>
      </c>
      <c r="G12" s="404">
        <f t="shared" si="1"/>
        <v>83.4</v>
      </c>
      <c r="H12" s="403">
        <f>IF(ISNUMBER(Datos!O12),Datos!O12," - ")</f>
        <v>474</v>
      </c>
      <c r="I12" s="404">
        <f t="shared" si="2"/>
        <v>94.8</v>
      </c>
    </row>
    <row r="13" spans="1:9" ht="14.25" thickTop="1" thickBot="1">
      <c r="A13" s="848" t="str">
        <f>Datos!A13</f>
        <v>TOTAL</v>
      </c>
      <c r="B13" s="849">
        <f>Datos!AO13</f>
        <v>6</v>
      </c>
      <c r="C13" s="851">
        <f>Datos!AR13</f>
        <v>5</v>
      </c>
      <c r="D13" s="849">
        <f>SUBTOTAL(9,D9:D12)</f>
        <v>316</v>
      </c>
      <c r="E13" s="850">
        <f t="shared" si="0"/>
        <v>52.666666666666664</v>
      </c>
      <c r="F13" s="849">
        <f>SUBTOTAL(9,F9:F12)</f>
        <v>418</v>
      </c>
      <c r="G13" s="850">
        <f t="shared" si="1"/>
        <v>69.666666666666671</v>
      </c>
      <c r="H13" s="849">
        <f>SUBTOTAL(9,H9:H12)</f>
        <v>474</v>
      </c>
      <c r="I13" s="850">
        <f>IF(ISNUMBER(H13/B13),H13/B13," - ")</f>
        <v>79</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5</v>
      </c>
      <c r="C16" s="428">
        <f>Datos!AQ16</f>
        <v>5</v>
      </c>
      <c r="D16" s="403">
        <f>IF(ISNUMBER(Datos!M16),Datos!M16," - ")</f>
        <v>153</v>
      </c>
      <c r="E16" s="404">
        <f t="shared" si="3"/>
        <v>30.6</v>
      </c>
      <c r="F16" s="403">
        <f>IF(ISNUMBER(Datos!N16),Datos!N16," - ")</f>
        <v>2115</v>
      </c>
      <c r="G16" s="404">
        <f t="shared" si="4"/>
        <v>423</v>
      </c>
      <c r="H16" s="403">
        <f>IF(ISNUMBER(Datos!O16),Datos!O16," - ")</f>
        <v>22</v>
      </c>
      <c r="I16" s="404">
        <f t="shared" si="5"/>
        <v>4.4000000000000004</v>
      </c>
    </row>
    <row r="17" spans="1:9"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73</v>
      </c>
      <c r="G17" s="404">
        <f>IF(ISNUMBER(F17/B17),F17/B17," - ")</f>
        <v>73</v>
      </c>
      <c r="H17" s="403">
        <f>IF(ISNUMBER(Datos!O17),Datos!O17," - ")</f>
        <v>0</v>
      </c>
      <c r="I17" s="404">
        <f t="shared" si="5"/>
        <v>0</v>
      </c>
    </row>
    <row r="18" spans="1:9" ht="14.25" thickTop="1" thickBot="1">
      <c r="A18" s="848" t="str">
        <f>Datos!A18</f>
        <v>TOTAL</v>
      </c>
      <c r="B18" s="849">
        <f>Datos!AO18</f>
        <v>6</v>
      </c>
      <c r="C18" s="851">
        <f>Datos!AR18</f>
        <v>5</v>
      </c>
      <c r="D18" s="849">
        <f>SUBTOTAL(9,D15:D17)</f>
        <v>173</v>
      </c>
      <c r="E18" s="850">
        <f t="shared" si="3"/>
        <v>28.833333333333332</v>
      </c>
      <c r="F18" s="849">
        <f>SUBTOTAL(9,F15:F17)</f>
        <v>2188</v>
      </c>
      <c r="G18" s="850">
        <f t="shared" si="4"/>
        <v>364.66666666666669</v>
      </c>
      <c r="H18" s="849">
        <f>SUBTOTAL(9,H15:H17)</f>
        <v>22</v>
      </c>
      <c r="I18" s="850">
        <f>IF(ISNUMBER(H18/B18),H18/B18," - ")</f>
        <v>3.6666666666666665</v>
      </c>
    </row>
    <row r="19" spans="1:9" ht="14.25" thickTop="1" thickBot="1">
      <c r="A19" s="793" t="str">
        <f>Datos!A19</f>
        <v>TOTAL JURISDICCIONES</v>
      </c>
      <c r="B19" s="794">
        <f>Datos!AP19</f>
        <v>5</v>
      </c>
      <c r="C19" s="794">
        <f>Datos!AR19</f>
        <v>5</v>
      </c>
      <c r="D19" s="794">
        <f>SUBTOTAL(9,D8:D18)</f>
        <v>489</v>
      </c>
      <c r="E19" s="795">
        <f>IF(ISNUMBER(D19/B19),D19/B19," - ")</f>
        <v>97.8</v>
      </c>
      <c r="F19" s="794">
        <f>SUBTOTAL(9,F8:F18)</f>
        <v>2606</v>
      </c>
      <c r="G19" s="795">
        <f>IF(ISNUMBER(F19/B19),F19/B19," - ")</f>
        <v>521.20000000000005</v>
      </c>
      <c r="H19" s="794">
        <f>SUBTOTAL(9,H8:H18)</f>
        <v>496</v>
      </c>
      <c r="I19" s="795">
        <f>IF(ISNUMBER(H19/B19),H19/B19," - ")</f>
        <v>99.2</v>
      </c>
    </row>
    <row r="22" spans="1:9">
      <c r="A22" s="391" t="str">
        <f>Criterios!A4</f>
        <v>Fecha Informe: 29 may. 2024</v>
      </c>
    </row>
    <row r="27" spans="1:9">
      <c r="A27" s="414"/>
    </row>
  </sheetData>
  <sheetProtection algorithmName="SHA-512" hashValue="kUEqjeiJRfZGRMOhB1IQ+sPNxRQdkAXHD29tYGzRALjLzrvnFHTggR/lDhpjU3xMQnrpYg7Ci11mgiOux4B6pw==" saltValue="rRKBbwW2XxwTM2g6hrFF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VELEZ-MALAGA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237</v>
      </c>
      <c r="C12" s="434">
        <f>IF(ISNUMBER(Datos!Q12),Datos!Q12," - ")</f>
        <v>475</v>
      </c>
      <c r="D12" s="408">
        <f>IF(ISNUMBER(Datos!R12),Datos!R12," - ")</f>
        <v>5061</v>
      </c>
    </row>
    <row r="13" spans="1:4" ht="14.25" thickTop="1" thickBot="1">
      <c r="A13" s="848" t="str">
        <f>Datos!A13</f>
        <v>TOTAL</v>
      </c>
      <c r="B13" s="849">
        <f>SUBTOTAL(9,B9:B12)</f>
        <v>237</v>
      </c>
      <c r="C13" s="853">
        <f>SUBTOTAL(9,C9:C12)</f>
        <v>475</v>
      </c>
      <c r="D13" s="851">
        <f>SUBTOTAL(9,D9:D12)</f>
        <v>5061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22</v>
      </c>
      <c r="D16" s="408">
        <f>IF(ISNUMBER(Datos!R16),Datos!R16," - ")</f>
        <v>84</v>
      </c>
    </row>
    <row r="17" spans="1:4" ht="13.5" thickBot="1">
      <c r="A17" s="402" t="str">
        <f>Datos!A17</f>
        <v>Jdos. Violencia contra la mujer</v>
      </c>
      <c r="B17" s="433">
        <f>IF(ISNUMBER(Datos!P17),Datos!P17," - ")</f>
        <v>3</v>
      </c>
      <c r="C17" s="434">
        <f>IF(ISNUMBER(Datos!Q17),Datos!Q17," - ")</f>
        <v>1</v>
      </c>
      <c r="D17" s="408">
        <f>IF(ISNUMBER(Datos!R17),Datos!R17," - ")</f>
        <v>4</v>
      </c>
    </row>
    <row r="18" spans="1:4" ht="14.25" thickTop="1" thickBot="1">
      <c r="A18" s="848" t="str">
        <f>Datos!A18</f>
        <v>TOTAL</v>
      </c>
      <c r="B18" s="849">
        <f>SUBTOTAL(9,B15:B17)</f>
        <v>29</v>
      </c>
      <c r="C18" s="853">
        <f>SUBTOTAL(9,C15:C17)</f>
        <v>23</v>
      </c>
      <c r="D18" s="851">
        <f>SUBTOTAL(9,D15:D17)</f>
        <v>88</v>
      </c>
    </row>
    <row r="19" spans="1:4" ht="16.5" customHeight="1" thickTop="1" thickBot="1">
      <c r="A19" s="793" t="str">
        <f>Datos!A19</f>
        <v>TOTAL JURISDICCIONES</v>
      </c>
      <c r="B19" s="798">
        <f>SUBTOTAL(9,B8:B18)</f>
        <v>266</v>
      </c>
      <c r="C19" s="799">
        <f>SUBTOTAL(9,C8:C18)</f>
        <v>498</v>
      </c>
      <c r="D19" s="800">
        <f>SUBTOTAL(9,D8:D18)</f>
        <v>5149</v>
      </c>
    </row>
    <row r="20" spans="1:4" ht="7.5" customHeight="1"/>
    <row r="21" spans="1:4" ht="6" customHeight="1"/>
    <row r="22" spans="1:4">
      <c r="A22" s="391" t="str">
        <f>Criterios!A4</f>
        <v>Fecha Informe: 29 may. 2024</v>
      </c>
    </row>
    <row r="27" spans="1:4">
      <c r="A27" s="414"/>
    </row>
  </sheetData>
  <sheetProtection algorithmName="SHA-512" hashValue="hFGTUHOHyos3lNYJEQm7l8g+iWxvgsIWK0sWS44711CHJepicY3fdLA0fT/Gi6cQmLoDxIH7et6Pz7xK/dXcfg==" saltValue="qga29THobiWwKphRelCi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VELEZ-MALAGA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0.16666666666666666</v>
      </c>
      <c r="D10" s="456">
        <f>IF(ISNUMBER((Datos!K10-Datos!U10)/Datos!U10),(Datos!K10-Datos!U10)/Datos!U10," - ")</f>
        <v>-0.5</v>
      </c>
      <c r="E10" s="456">
        <f>IF(ISNUMBER((Datos!L10-Datos!V10)/Datos!V10),(Datos!L10-Datos!V10)/Datos!V10," - ")</f>
        <v>1.25</v>
      </c>
      <c r="F10" s="456">
        <f>IF(ISNUMBER((Datos!M10-Datos!W10)/Datos!W10),(Datos!M10-Datos!W10)/Datos!W10," - ")</f>
        <v>-0.4</v>
      </c>
      <c r="G10" s="457" t="str">
        <f>IF(ISNUMBER((Datos!N10-Datos!X10)/Datos!X10),(Datos!N10-Datos!X10)/Datos!X10," - ")</f>
        <v xml:space="preserve"> - </v>
      </c>
      <c r="H10" s="455">
        <f>IF(ISNUMBER(((NºAsuntos!G10/NºAsuntos!E10)-Datos!BD10)/Datos!BD10),((NºAsuntos!G10/NºAsuntos!E10)-Datos!BD10)/Datos!BD10," - ")</f>
        <v>-0.5714285714285714</v>
      </c>
      <c r="I10" s="456">
        <f>IF(ISNUMBER(((NºAsuntos!I10/NºAsuntos!G10)-Datos!BE10)/Datos!BE10),((NºAsuntos!I10/NºAsuntos!G10)-Datos!BE10)/Datos!BE10," - ")</f>
        <v>3.4999999999999996</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0.18660446517827392</v>
      </c>
      <c r="C12" s="456">
        <f>IF(ISNUMBER(
   IF(J_V="SI",(Datos!J12-Datos!T12)/Datos!T12,(Datos!J12+Datos!Z12-(Datos!T12+Datos!AH12))/(Datos!T12+Datos!AH12))
     ),IF(J_V="SI",(Datos!J12-Datos!T12)/Datos!T12,(Datos!J12+Datos!Z12-(Datos!T12+Datos!AH12))/(Datos!T12+Datos!AH12))," - ")</f>
        <v>-0.11744386873920552</v>
      </c>
      <c r="D12" s="456">
        <f>IF(ISNUMBER(
   IF(J_V="SI",(Datos!K12-Datos!U12)/Datos!U12,(Datos!K12+Datos!AA12-(Datos!U12+Datos!AI12))/(Datos!U12+Datos!AI12))
     ),IF(J_V="SI",(Datos!K12-Datos!U12)/Datos!U12,(Datos!K12+Datos!AA12-(Datos!U12+Datos!AI12))/(Datos!U12+Datos!AI12))," - ")</f>
        <v>-0.109107303877367</v>
      </c>
      <c r="E12" s="456">
        <f>IF(ISNUMBER(
   IF(J_V="SI",(Datos!L12-Datos!V12)/Datos!V12,(Datos!L12+Datos!AB12-(Datos!V12+Datos!AJ12))/(Datos!V12+Datos!AJ12))
     ),IF(J_V="SI",(Datos!L12-Datos!V12)/Datos!V12,(Datos!L12+Datos!AB12-(Datos!V12+Datos!AJ12))/(Datos!V12+Datos!AJ12))," - ")</f>
        <v>0.17868852459016393</v>
      </c>
      <c r="F12" s="456">
        <f>IF(ISNUMBER((Datos!M12-Datos!W12)/Datos!W12),(Datos!M12-Datos!W12)/Datos!W12," - ")</f>
        <v>3.9867109634551492E-2</v>
      </c>
      <c r="G12" s="457">
        <f>IF(ISNUMBER((Datos!N12-Datos!X12)/Datos!X12),(Datos!N12-Datos!X12)/Datos!X12," - ")</f>
        <v>9.4488188976377951E-2</v>
      </c>
      <c r="H12" s="455">
        <f>IF(ISNUMBER(((NºAsuntos!G12/NºAsuntos!E12)-Datos!BD12)/Datos!BD12),((NºAsuntos!G12/NºAsuntos!E12)-Datos!BD12)/Datos!BD12," - ")</f>
        <v>9.4459316144901388E-3</v>
      </c>
      <c r="I12" s="456">
        <f>IF(ISNUMBER(((NºAsuntos!I12/NºAsuntos!G12)-Datos!BE12)/Datos!BE12),((NºAsuntos!I12/NºAsuntos!G12)-Datos!BE12)/Datos!BE12," - ")</f>
        <v>0.32304207871507268</v>
      </c>
      <c r="J12" s="461">
        <f>IF(ISNUMBER((('Resol  Asuntos'!D12/NºAsuntos!G12)-Datos!BF12)/Datos!BF12),(('Resol  Asuntos'!D12/NºAsuntos!G12)-Datos!BF12)/Datos!BF12," - ")</f>
        <v>-7.7866152358485471E-2</v>
      </c>
      <c r="K12" s="462">
        <f>IF(ISNUMBER((((NºAsuntos!C12+NºAsuntos!E12)/NºAsuntos!G12)-Datos!BG12)/Datos!BG12),(((NºAsuntos!C12+NºAsuntos!E12)/NºAsuntos!G12)-Datos!BG12)/Datos!BG12," - ")</f>
        <v>0.23690270259220284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0.1857760053173812</v>
      </c>
      <c r="C13" s="855">
        <f>IF(ISNUMBER(
   IF(J_V="SI",(Datos!J13-Datos!T13)/Datos!T13,(Datos!J13+Datos!Z13-(Datos!T13+Datos!AH13))/(Datos!T13+Datos!AH13))
     ),IF(J_V="SI",(Datos!J13-Datos!T13)/Datos!T13,(Datos!J13+Datos!Z13-(Datos!T13+Datos!AH13))/(Datos!T13+Datos!AH13))," - ")</f>
        <v>-0.11597938144329897</v>
      </c>
      <c r="D13" s="855">
        <f>IF(ISNUMBER(
   IF(J_V="SI",(Datos!K13-Datos!U13)/Datos!U13,(Datos!K13+Datos!AA13-(Datos!U13+Datos!AI13))/(Datos!U13+Datos!AI13))
     ),IF(J_V="SI",(Datos!K13-Datos!U13)/Datos!U13,(Datos!K13+Datos!AA13-(Datos!U13+Datos!AI13))/(Datos!U13+Datos!AI13))," - ")</f>
        <v>-0.1126005361930295</v>
      </c>
      <c r="E13" s="855">
        <f>IF(ISNUMBER(
   IF(J_V="SI",(Datos!L13-Datos!V13)/Datos!V13,(Datos!L13+Datos!AB13-(Datos!V13+Datos!AJ13))/(Datos!V13+Datos!AJ13))
     ),IF(J_V="SI",(Datos!L13-Datos!V13)/Datos!V13,(Datos!L13+Datos!AB13-(Datos!V13+Datos!AJ13))/(Datos!V13+Datos!AJ13))," - ")</f>
        <v>0.18009168303863785</v>
      </c>
      <c r="F13" s="856">
        <f>IF(ISNUMBER((Datos!M13-Datos!W13)/Datos!W13),(Datos!M13-Datos!W13)/Datos!W13," - ")</f>
        <v>3.2679738562091505E-2</v>
      </c>
      <c r="G13" s="857">
        <f>IF(ISNUMBER((Datos!N13-Datos!X13)/Datos!X13),(Datos!N13-Datos!X13)/Datos!X13," - ")</f>
        <v>9.711286089238845E-2</v>
      </c>
      <c r="H13" s="857">
        <f>IF(ISNUMBER(((NºAsuntos!G13/NºAsuntos!E13)-Datos!BD13)/Datos!BD13),((NºAsuntos!G13/NºAsuntos!E13)-Datos!BD13)/Datos!BD13," - ")</f>
        <v>3.8221339857275878E-3</v>
      </c>
      <c r="I13" s="857">
        <f>IF(ISNUMBER(((NºAsuntos!I13/NºAsuntos!G13)-Datos!BE13)/Datos!BE13),((NºAsuntos!I13/NºAsuntos!G13)-Datos!BE13)/Datos!BE13," - ")</f>
        <v>0.32983141321272486</v>
      </c>
      <c r="J13" s="857">
        <f>IF(ISNUMBER((('Resol  Asuntos'!D13/NºAsuntos!G13)-Datos!BF13)/Datos!BF13),(('Resol  Asuntos'!D13/NºAsuntos!G13)-Datos!BF13)/Datos!BF13," - ")</f>
        <v>-7.7469749385595629E-2</v>
      </c>
      <c r="K13" s="857">
        <f>IF(ISNUMBER((((NºAsuntos!C13+NºAsuntos!E13)/NºAsuntos!G13)-Datos!BG13)/Datos!BG13),(((NºAsuntos!C13+NºAsuntos!E13)/NºAsuntos!G13)-Datos!BG13)/Datos!BG13," - ")</f>
        <v>0.24138632541376989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0.41707021791767557</v>
      </c>
      <c r="C16" s="456">
        <f>IF(ISNUMBER(
   IF(D_I="SI",(Datos!J16-Datos!T16)/Datos!T16,(Datos!J16+Datos!AD16-(Datos!T16+Datos!AL16))/(Datos!T16+Datos!AL16))
     ),IF(D_I="SI",(Datos!J16-Datos!T16)/Datos!T16,(Datos!J16+Datos!AD16-(Datos!T16+Datos!AL16))/(Datos!T16+Datos!AL16))," - ")</f>
        <v>-0.20329489291598024</v>
      </c>
      <c r="D16" s="456">
        <f>IF(ISNUMBER(
   IF(D_I="SI",(Datos!K16-Datos!U16)/Datos!U16,(Datos!K16+Datos!AE16-(Datos!U16+Datos!AM16))/(Datos!U16+Datos!AM16))
     ),IF(D_I="SI",(Datos!K16-Datos!U16)/Datos!U16,(Datos!K16+Datos!AE16-(Datos!U16+Datos!AM16))/(Datos!U16+Datos!AM16))," - ")</f>
        <v>-0.15893155258764607</v>
      </c>
      <c r="E16" s="456">
        <f>IF(ISNUMBER(
   IF(D_I="SI",(Datos!L16-Datos!V16)/Datos!V16,(Datos!L16+Datos!AF16-(Datos!V16+Datos!AN16))/(Datos!V16+Datos!AN16))
     ),IF(D_I="SI",(Datos!L16-Datos!V16)/Datos!V16,(Datos!L16+Datos!AF16-(Datos!V16+Datos!AN16))/(Datos!V16+Datos!AN16))," - ")</f>
        <v>0.33811230585424135</v>
      </c>
      <c r="F16" s="456">
        <f>IF(ISNUMBER((Datos!M16-Datos!W16)/Datos!W16),(Datos!M16-Datos!W16)/Datos!W16," - ")</f>
        <v>0.17692307692307693</v>
      </c>
      <c r="G16" s="457">
        <f>IF(ISNUMBER((Datos!N16-Datos!X16)/Datos!X16),(Datos!N16-Datos!X16)/Datos!X16," - ")</f>
        <v>-0.14648910411622276</v>
      </c>
      <c r="H16" s="455">
        <f>IF(ISNUMBER(((NºAsuntos!G16/NºAsuntos!E16)-Datos!BD16)/Datos!BD16),((NºAsuntos!G16/NºAsuntos!E16)-Datos!BD16)/Datos!BD16," - ")</f>
        <v>5.5683514431966043E-2</v>
      </c>
      <c r="I16" s="456">
        <f>IF(ISNUMBER(((NºAsuntos!I16/NºAsuntos!G16)-Datos!BE16)/Datos!BE16),((NºAsuntos!I16/NºAsuntos!G16)-Datos!BE16)/Datos!BE16," - ")</f>
        <v>0.5909671917560354</v>
      </c>
      <c r="J16" s="461">
        <f>IF(ISNUMBER((('Resol  Asuntos'!D16/NºAsuntos!G16)-Datos!BF16)/Datos!BF16),(('Resol  Asuntos'!D16/NºAsuntos!G16)-Datos!BF16)/Datos!BF16," - ")</f>
        <v>0.39931902158976401</v>
      </c>
      <c r="K16" s="462">
        <f>IF(ISNUMBER((((NºAsuntos!C16+NºAsuntos!E16)/NºAsuntos!G16)-Datos!BG16)/Datos!BG16),(((NºAsuntos!C16+NºAsuntos!E16)/NºAsuntos!G16)-Datos!BG16)/Datos!BG16," - ")</f>
        <v>0.20722830787275504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-0.17073170731707318</v>
      </c>
      <c r="C17" s="456">
        <f>IF(ISNUMBER(
   IF(D_I="SI",(Datos!J17-Datos!T17)/Datos!T17,(Datos!J17+Datos!AD17-(Datos!T17+Datos!AL17))/(Datos!T17+Datos!AL17))
     ),IF(D_I="SI",(Datos!J17-Datos!T17)/Datos!T17,(Datos!J17+Datos!AD17-(Datos!T17+Datos!AL17))/(Datos!T17+Datos!AL17))," - ")</f>
        <v>0.10638297872340426</v>
      </c>
      <c r="D17" s="456">
        <f>IF(ISNUMBER(
   IF(D_I="SI",(Datos!K17-Datos!U17)/Datos!U17,(Datos!K17+Datos!AE17-(Datos!U17+Datos!AM17))/(Datos!U17+Datos!AM17))
     ),IF(D_I="SI",(Datos!K17-Datos!U17)/Datos!U17,(Datos!K17+Datos!AE17-(Datos!U17+Datos!AM17))/(Datos!U17+Datos!AM17))," - ")</f>
        <v>5.7142857142857141E-2</v>
      </c>
      <c r="E17" s="456">
        <f>IF(ISNUMBER(
   IF(D_I="SI",(Datos!L17-Datos!V17)/Datos!V17,(Datos!L17+Datos!AF17-(Datos!V17+Datos!AN17))/(Datos!V17+Datos!AN17))
     ),IF(D_I="SI",(Datos!L17-Datos!V17)/Datos!V17,(Datos!L17+Datos!AF17-(Datos!V17+Datos!AN17))/(Datos!V17+Datos!AN17))," - ")</f>
        <v>-0.14084507042253522</v>
      </c>
      <c r="F17" s="456">
        <f>IF(ISNUMBER((Datos!M17-Datos!W17)/Datos!W17),(Datos!M17-Datos!W17)/Datos!W17," - ")</f>
        <v>0.25</v>
      </c>
      <c r="G17" s="457">
        <f>IF(ISNUMBER((Datos!N17-Datos!X17)/Datos!X17),(Datos!N17-Datos!X17)/Datos!X17," - ")</f>
        <v>5.7971014492753624E-2</v>
      </c>
      <c r="H17" s="455">
        <f>IF(ISNUMBER(((NºAsuntos!G17/NºAsuntos!E17)-Datos!BD17)/Datos!BD17),((NºAsuntos!G17/NºAsuntos!E17)-Datos!BD17)/Datos!BD17," - ")</f>
        <v>-4.4505494505494431E-2</v>
      </c>
      <c r="I17" s="456">
        <f>IF(ISNUMBER(((NºAsuntos!I17/NºAsuntos!G17)-Datos!BE17)/Datos!BE17),((NºAsuntos!I17/NºAsuntos!G17)-Datos!BE17)/Datos!BE17," - ")</f>
        <v>-0.18728587742672248</v>
      </c>
      <c r="J17" s="461">
        <f>IF(ISNUMBER((('Resol  Asuntos'!D17/NºAsuntos!G17)-Datos!BF17)/Datos!BF17),(('Resol  Asuntos'!D17/NºAsuntos!G17)-Datos!BF17)/Datos!BF17," - ")</f>
        <v>0.18243243243243226</v>
      </c>
      <c r="K17" s="462">
        <f>IF(ISNUMBER((((NºAsuntos!C17+NºAsuntos!E17)/NºAsuntos!G17)-Datos!BG17)/Datos!BG17),(((NºAsuntos!C17+NºAsuntos!E17)/NºAsuntos!G17)-Datos!BG17)/Datos!BG17," - ")</f>
        <v>-7.5552825552825609E-2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0.38927335640138411</v>
      </c>
      <c r="C18" s="855">
        <f>IF(ISNUMBER(
   IF(Criterios!B14="SI",(Datos!J18-Datos!T18)/Datos!T18,(Datos!J18+Datos!AD18-(Datos!T18+Datos!AL18))/(Datos!T18+Datos!AL18))
     ),IF(Criterios!B14="SI",(Datos!J18-Datos!T18)/Datos!T18,(Datos!J18+Datos!AD18-(Datos!T18+Datos!AL18))/(Datos!T18+Datos!AL18))," - ")</f>
        <v>-0.19399169063598592</v>
      </c>
      <c r="D18" s="855">
        <f>IF(ISNUMBER(
   IF(Criterios!B14="SI",(Datos!K18-Datos!U18)/Datos!U18,(Datos!K18+Datos!AE18-(Datos!U18+Datos!AM18))/(Datos!U18+Datos!AM18))
     ),IF(Criterios!B14="SI",(Datos!K18-Datos!U18)/Datos!U18,(Datos!K18+Datos!AE18-(Datos!U18+Datos!AM18))/(Datos!U18+Datos!AM18))," - ")</f>
        <v>-0.15161290322580645</v>
      </c>
      <c r="E18" s="855">
        <f>IF(ISNUMBER(
   IF(Criterios!B14="SI",(Datos!L18-Datos!V18)/Datos!V18,(Datos!L18+Datos!AF18-(Datos!V18+Datos!AN18))/(Datos!V18+Datos!AN18))
     ),IF(Criterios!B14="SI",(Datos!L18-Datos!V18)/Datos!V18,(Datos!L18+Datos!AF18-(Datos!V18+Datos!AN18))/(Datos!V18+Datos!AN18))," - ")</f>
        <v>0.3186246418338109</v>
      </c>
      <c r="F18" s="856">
        <f>IF(ISNUMBER((Datos!M18-Datos!W18)/Datos!W18),(Datos!M18-Datos!W18)/Datos!W18," - ")</f>
        <v>0.18493150684931506</v>
      </c>
      <c r="G18" s="857">
        <f>IF(ISNUMBER((Datos!N18-Datos!X18)/Datos!X18),(Datos!N18-Datos!X18)/Datos!X18," - ")</f>
        <v>-0.14095013741656851</v>
      </c>
      <c r="H18" s="857">
        <f>IF(ISNUMBER(((NºAsuntos!G18/NºAsuntos!E18)-Datos!BD18)/Datos!BD18),((NºAsuntos!G18/NºAsuntos!E18)-Datos!BD18)/Datos!BD18," - ")</f>
        <v>5.2578598654421833E-2</v>
      </c>
      <c r="I18" s="857">
        <f>IF(ISNUMBER(((NºAsuntos!I18/NºAsuntos!G18)-Datos!BE18)/Datos!BE18),((NºAsuntos!I18/NºAsuntos!G18)-Datos!BE18)/Datos!BE18," - ")</f>
        <v>0.55427239151513841</v>
      </c>
      <c r="J18" s="857">
        <f>IF(ISNUMBER((('Resol  Asuntos'!D18/NºAsuntos!G18)-Datos!BF18)/Datos!BF18),(('Resol  Asuntos'!D18/NºAsuntos!G18)-Datos!BF18)/Datos!BF18," - ")</f>
        <v>0.39668732746497226</v>
      </c>
      <c r="K18" s="857">
        <f>IF(ISNUMBER((((NºAsuntos!C18+NºAsuntos!E18)/NºAsuntos!G18)-Datos!BG18)/Datos!BG18),(((NºAsuntos!C18+NºAsuntos!E18)/NºAsuntos!G18)-Datos!BG18)/Datos!BG18," - ")</f>
        <v>0.19518925009128446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0.26017288635884461</v>
      </c>
      <c r="C19" s="802">
        <f>IF(ISNUMBER(
   IF(J_V="SI",(Datos!J19-Datos!T19)/Datos!T19,(Datos!J19+Datos!Z19-(Datos!T19+Datos!AH19))/(Datos!T19+Datos!AH19))
     ),IF(J_V="SI",(Datos!J19-Datos!T19)/Datos!T19,(Datos!J19+Datos!Z19-(Datos!T19+Datos!AH19))/(Datos!T19+Datos!AH19))," - ")</f>
        <v>-0.1728395061728395</v>
      </c>
      <c r="D19" s="802">
        <f>IF(ISNUMBER(
   IF(J_V="SI",(Datos!K19-Datos!U19)/Datos!U19,(Datos!K19+Datos!AA19-(Datos!U19+Datos!AI19))/(Datos!U19+Datos!AI19))
     ),IF(J_V="SI",(Datos!K19-Datos!U19)/Datos!U19,(Datos!K19+Datos!AA19-(Datos!U19+Datos!AI19))/(Datos!U19+Datos!AI19))," - ")</f>
        <v>-0.14126570277316899</v>
      </c>
      <c r="E19" s="802">
        <f>IF(ISNUMBER(
   IF(J_V="SI",(Datos!L19-Datos!V19)/Datos!V19,(Datos!L19+Datos!AB19-(Datos!V19+Datos!AJ19))/(Datos!V19+Datos!AJ19))
     ),IF(J_V="SI",(Datos!L19-Datos!V19)/Datos!V19,(Datos!L19+Datos!AB19-(Datos!V19+Datos!AJ19))/(Datos!V19+Datos!AJ19))," - ")</f>
        <v>0.23046468014169619</v>
      </c>
      <c r="F19" s="803">
        <f>IF(ISNUMBER((Datos!M19-Datos!W19)/Datos!W19),(Datos!M19-Datos!W19)/Datos!W19," - ")</f>
        <v>8.185840707964602E-2</v>
      </c>
      <c r="G19" s="804">
        <f>IF(ISNUMBER((Datos!N19-Datos!X19)/Datos!X19),(Datos!N19-Datos!X19)/Datos!X19," - ")</f>
        <v>-0.10997267759562841</v>
      </c>
      <c r="H19" s="805">
        <f>IF(ISNUMBER((Tasas!B19-Datos!BD19)/Datos!BD19),(Tasas!B19-Datos!BD19)/Datos!BD19," - ")</f>
        <v>3.8171314557810546E-2</v>
      </c>
      <c r="I19" s="806">
        <f>IF(ISNUMBER((Tasas!C19-Datos!BE19)/Datos!BE19),(Tasas!C19-Datos!BE19)/Datos!BE19," - ")</f>
        <v>0.43288172385255758</v>
      </c>
      <c r="J19" s="807">
        <f>IF(ISNUMBER((Tasas!D19-Datos!BF19)/Datos!BF19),(Tasas!D19-Datos!BF19)/Datos!BF19," - ")</f>
        <v>7.0381065830460748E-2</v>
      </c>
      <c r="K19" s="807">
        <f>IF(ISNUMBER((Tasas!E19-Datos!BG19)/Datos!BG19),(Tasas!E19-Datos!BG19)/Datos!BG19," - ")</f>
        <v>0.22791051270124216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S1Vo/2yrYx7xSc7T+ho4Kq+eUccsdPkl2x4e3ecJ11vBUbruumBgqHOA7MHPmg5NaL4QtMsZx/92C8d95ngAA==" saltValue="zHJwHNtDKYA2eUPJeFtu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VELEZ-MALAGA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1.8</v>
      </c>
      <c r="D10" s="444">
        <f>IF(ISNUMBER('Resol  Asuntos'!D10/NºAsuntos!G10),'Resol  Asuntos'!D10/NºAsuntos!G10," - ")</f>
        <v>0.6</v>
      </c>
      <c r="E10" s="445">
        <f>IF(ISNUMBER((NºAsuntos!C10+NºAsuntos!E10)/NºAsuntos!G10),(NºAsuntos!C10+NºAsuntos!E10)/NºAsuntos!G10," - ")</f>
        <v>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0.9667318982387475</v>
      </c>
      <c r="C12" s="443">
        <f>IF(ISNUMBER(NºAsuntos!I12/NºAsuntos!G12),NºAsuntos!I12/NºAsuntos!G12," - ")</f>
        <v>3.6386639676113361</v>
      </c>
      <c r="D12" s="444">
        <f>IF(ISNUMBER('Resol  Asuntos'!D12/NºAsuntos!G12),'Resol  Asuntos'!D12/NºAsuntos!G12," - ")</f>
        <v>0.3168016194331984</v>
      </c>
      <c r="E12" s="445">
        <f>IF(ISNUMBER((NºAsuntos!C12+NºAsuntos!E12)/NºAsuntos!G12),(NºAsuntos!C12+NºAsuntos!E12)/NºAsuntos!G12," - ")</f>
        <v>4.6386639676113361</v>
      </c>
      <c r="G12" s="463"/>
    </row>
    <row r="13" spans="1:7" ht="14.25" thickTop="1" thickBot="1">
      <c r="A13" s="848" t="str">
        <f>Datos!A13</f>
        <v>TOTAL</v>
      </c>
      <c r="B13" s="858">
        <f>IF(ISNUMBER(NºAsuntos!G13/NºAsuntos!E13),NºAsuntos!G13/NºAsuntos!E13," - ")</f>
        <v>0.96501457725947526</v>
      </c>
      <c r="C13" s="859">
        <f>IF(ISNUMBER(NºAsuntos!I13/NºAsuntos!G13),NºAsuntos!I13/NºAsuntos!G13," - ")</f>
        <v>3.6294058408862035</v>
      </c>
      <c r="D13" s="860">
        <f>IF(ISNUMBER('Resol  Asuntos'!D13/NºAsuntos!G13),'Resol  Asuntos'!D13/NºAsuntos!G13," - ")</f>
        <v>0.31822759315206445</v>
      </c>
      <c r="E13" s="861">
        <f>IF(ISNUMBER((NºAsuntos!C13+NºAsuntos!E13)/NºAsuntos!G13),(NºAsuntos!C13+NºAsuntos!E13)/NºAsuntos!G13," - ")</f>
        <v>4.6294058408862035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1.0417700578990901</v>
      </c>
      <c r="C16" s="443">
        <f>IF(ISNUMBER(NºAsuntos!I16/NºAsuntos!G16),NºAsuntos!I16/NºAsuntos!G16," - ")</f>
        <v>0.88924176260420806</v>
      </c>
      <c r="D16" s="444">
        <f>IF(ISNUMBER('Resol  Asuntos'!D16/NºAsuntos!G16),'Resol  Asuntos'!D16/NºAsuntos!G16," - ")</f>
        <v>6.0738388249305282E-2</v>
      </c>
      <c r="E16" s="445">
        <f>IF(ISNUMBER((NºAsuntos!C16+NºAsuntos!E16)/NºAsuntos!G16),(NºAsuntos!C16+NºAsuntos!E16)/NºAsuntos!G16," - ")</f>
        <v>1.889241762604208</v>
      </c>
      <c r="G16" s="463"/>
    </row>
    <row r="17" spans="1:7" ht="13.5" thickBot="1">
      <c r="A17" s="402" t="str">
        <f>Datos!A17</f>
        <v>Jdos. Violencia contra la mujer</v>
      </c>
      <c r="B17" s="442">
        <f>IF(ISNUMBER(NºAsuntos!G17/NºAsuntos!E17),NºAsuntos!G17/NºAsuntos!E17," - ")</f>
        <v>1.0673076923076923</v>
      </c>
      <c r="C17" s="443">
        <f>IF(ISNUMBER(NºAsuntos!I17/NºAsuntos!G17),NºAsuntos!I17/NºAsuntos!G17," - ")</f>
        <v>0.5495495495495496</v>
      </c>
      <c r="D17" s="444">
        <f>IF(ISNUMBER('Resol  Asuntos'!D17/NºAsuntos!G17),'Resol  Asuntos'!D17/NºAsuntos!G17," - ")</f>
        <v>0.18018018018018017</v>
      </c>
      <c r="E17" s="445">
        <f>IF(ISNUMBER((NºAsuntos!C17+NºAsuntos!E17)/NºAsuntos!G17),(NºAsuntos!C17+NºAsuntos!E17)/NºAsuntos!G17," - ")</f>
        <v>1.5495495495495495</v>
      </c>
      <c r="G17" s="463"/>
    </row>
    <row r="18" spans="1:7" ht="14.25" thickTop="1" thickBot="1">
      <c r="A18" s="848" t="str">
        <f>Datos!A18</f>
        <v>TOTAL</v>
      </c>
      <c r="B18" s="858">
        <f>IF(ISNUMBER(NºAsuntos!G18/NºAsuntos!E18),NºAsuntos!G18/NºAsuntos!E18," - ")</f>
        <v>1.0428231562252182</v>
      </c>
      <c r="C18" s="859">
        <f>IF(ISNUMBER(NºAsuntos!I18/NºAsuntos!G18),NºAsuntos!I18/NºAsuntos!G18," - ")</f>
        <v>0.87490494296577948</v>
      </c>
      <c r="D18" s="862">
        <f>IF(ISNUMBER('Resol  Asuntos'!D18/NºAsuntos!G18),'Resol  Asuntos'!D18/NºAsuntos!G18," - ")</f>
        <v>6.5779467680608369E-2</v>
      </c>
      <c r="E18" s="861">
        <f>IF(ISNUMBER((NºAsuntos!C18+NºAsuntos!E18)/NºAsuntos!G18),(NºAsuntos!C18+NºAsuntos!E18)/NºAsuntos!G18," - ")</f>
        <v>1.8749049429657794</v>
      </c>
      <c r="G18" s="463"/>
    </row>
    <row r="19" spans="1:7" ht="15.75" customHeight="1" thickTop="1" thickBot="1">
      <c r="A19" s="793" t="str">
        <f>Datos!A19</f>
        <v>TOTAL JURISDICCIONES</v>
      </c>
      <c r="B19" s="808">
        <f>IF(ISNUMBER(NºAsuntos!G19/NºAsuntos!E19),NºAsuntos!G19/NºAsuntos!E19," - ")</f>
        <v>1.0202759785975781</v>
      </c>
      <c r="C19" s="809">
        <f>IF(ISNUMBER(NºAsuntos!I19/NºAsuntos!G19),NºAsuntos!I19/NºAsuntos!G19," - ")</f>
        <v>1.6298647529671544</v>
      </c>
      <c r="D19" s="810">
        <f>IF(ISNUMBER('Resol  Asuntos'!D19/NºAsuntos!G19),'Resol  Asuntos'!D19/NºAsuntos!G19," - ")</f>
        <v>0.13497101849296164</v>
      </c>
      <c r="E19" s="811">
        <f>IF(ISNUMBER((NºAsuntos!C19+NºAsuntos!E19)/NºAsuntos!G19),(NºAsuntos!C19+NºAsuntos!E19)/NºAsuntos!G19," - ")</f>
        <v>2.6298647529671544</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mYgfdGQdVKMCOycg3PAZnJyKyKLULRoT+7myKCPpzBIiY01I8KNwLWonFlbg/ZSJG3Pm1lMJMF8v0poaYG4QA==" saltValue="qIIi7Zhfb7E5XjNzYO9P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VELEZ-MALAGA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5.4</v>
      </c>
      <c r="AN10" s="244">
        <f>IF(ISNUMBER('Resol  Asuntos'!D10/NºAsuntos!G10),'Resol  Asuntos'!D10/NºAsuntos!G10," - ")</f>
        <v>0.6</v>
      </c>
      <c r="AO10" s="245">
        <f>IF(ISNUMBER((NºAsuntos!C10+NºAsuntos!E10)/NºAsuntos!G10),(NºAsuntos!C10+NºAsuntos!E10)/NºAsuntos!G10," - ")</f>
        <v>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475</v>
      </c>
      <c r="Y12" s="334">
        <f t="shared" si="0"/>
        <v>475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313</v>
      </c>
      <c r="AJ12" s="229" t="str">
        <f>IF(ISNUMBER(Datos!BW12),Datos!BW12," - ")</f>
        <v xml:space="preserve"> - </v>
      </c>
      <c r="AK12" s="228" t="str">
        <f>IF(ISNUMBER(Datos!BX12),Datos!BX12," - ")</f>
        <v xml:space="preserve"> - </v>
      </c>
      <c r="AL12" s="243">
        <f>IF(ISNUMBER(NºAsuntos!G12/NºAsuntos!E12),NºAsuntos!G12/NºAsuntos!E12," - ")</f>
        <v>0.9667318982387475</v>
      </c>
      <c r="AM12" s="260">
        <f>IF(ISNUMBER(((NºAsuntos!I12/NºAsuntos!G12)*11)/factor_trimestre),((NºAsuntos!I12/NºAsuntos!G12)*11)/factor_trimestre," - ")</f>
        <v>10.915991902834008</v>
      </c>
      <c r="AN12" s="244">
        <f>IF(ISNUMBER('Resol  Asuntos'!D12/NºAsuntos!G12),'Resol  Asuntos'!D12/NºAsuntos!G12," - ")</f>
        <v>0.3168016194331984</v>
      </c>
      <c r="AO12" s="245">
        <f>IF(ISNUMBER((NºAsuntos!C12+NºAsuntos!E12)/NºAsuntos!G12),(NºAsuntos!C12+NºAsuntos!E12)/NºAsuntos!G12," - ")</f>
        <v>4.6386639676113361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7</v>
      </c>
      <c r="G13" s="866">
        <f t="shared" si="3"/>
        <v>7</v>
      </c>
      <c r="H13" s="865">
        <f t="shared" si="3"/>
        <v>0</v>
      </c>
      <c r="I13" s="867">
        <f t="shared" si="3"/>
        <v>0</v>
      </c>
      <c r="J13" s="867">
        <f t="shared" si="3"/>
        <v>0</v>
      </c>
      <c r="K13" s="867">
        <f t="shared" si="3"/>
        <v>0</v>
      </c>
      <c r="L13" s="867">
        <f t="shared" si="3"/>
        <v>237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475</v>
      </c>
      <c r="Y13" s="868">
        <f t="shared" si="4"/>
        <v>480</v>
      </c>
      <c r="Z13" s="868">
        <f t="shared" si="4"/>
        <v>0</v>
      </c>
      <c r="AA13" s="868">
        <f t="shared" si="4"/>
        <v>9</v>
      </c>
      <c r="AB13" s="868">
        <f t="shared" si="4"/>
        <v>5061</v>
      </c>
      <c r="AC13" s="868">
        <f t="shared" si="4"/>
        <v>9</v>
      </c>
      <c r="AD13" s="868">
        <f t="shared" si="4"/>
        <v>0</v>
      </c>
      <c r="AE13" s="872">
        <f t="shared" si="4"/>
        <v>0</v>
      </c>
      <c r="AF13" s="865">
        <f t="shared" si="4"/>
        <v>0</v>
      </c>
      <c r="AG13" s="873">
        <f t="shared" si="4"/>
        <v>0</v>
      </c>
      <c r="AH13" s="870">
        <f t="shared" si="4"/>
        <v>0</v>
      </c>
      <c r="AI13" s="865">
        <f t="shared" si="4"/>
        <v>316</v>
      </c>
      <c r="AJ13" s="867">
        <f t="shared" si="4"/>
        <v>0</v>
      </c>
      <c r="AK13" s="870">
        <f>SUBTOTAL(9,AK9:AK12)</f>
        <v>0</v>
      </c>
      <c r="AL13" s="874">
        <f>IF(ISNUMBER(NºAsuntos!G13/NºAsuntos!E13),NºAsuntos!G13/NºAsuntos!E13," - ")</f>
        <v>0.96501457725947526</v>
      </c>
      <c r="AM13" s="874">
        <f>IF(ISNUMBER(((NºAsuntos!I13/NºAsuntos!G13)*11)/factor_trimestre),((NºAsuntos!I13/NºAsuntos!G13)*11)/factor_trimestre," - ")</f>
        <v>10.888217522658611</v>
      </c>
      <c r="AN13" s="875">
        <f>IF(ISNUMBER('Resol  Asuntos'!D13/NºAsuntos!G13),'Resol  Asuntos'!D13/NºAsuntos!G13," - ")</f>
        <v>0.31822759315206445</v>
      </c>
      <c r="AO13" s="876">
        <f>IF(ISNUMBER((NºAsuntos!C13+NºAsuntos!E13)/NºAsuntos!G13),(NºAsuntos!C13+NºAsuntos!E13)/NºAsuntos!G13," - ")</f>
        <v>4.6294058408862035</v>
      </c>
      <c r="AP13" s="877" t="str">
        <f t="shared" si="2"/>
        <v xml:space="preserve"> - </v>
      </c>
      <c r="AQ13" s="877">
        <f>IF(ISNUMBER((H13-W13+K13)/(F13)),(H13-W13+K13)/(F13)," - ")</f>
        <v>-0.7142857142857143</v>
      </c>
      <c r="AR13" s="878">
        <f>IF(ISNUMBER((Datos!P13-Datos!Q13)/(Datos!R13-Datos!P13+Datos!Q13)),(Datos!P13-Datos!Q13)/(Datos!R13-Datos!P13+Datos!Q13)," - ")</f>
        <v>-4.491413474240423E-2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2341</v>
      </c>
      <c r="G16" s="333">
        <f>IF(ISNUMBER(IF(D_I="SI",Datos!I16,Datos!I16+Datos!AC16)),IF(D_I="SI",Datos!I16,Datos!I16+Datos!AC16)," - ")</f>
        <v>2341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2519</v>
      </c>
      <c r="X16" s="226">
        <f>IF(ISNUMBER(Datos!Q16),Datos!Q16," - ")</f>
        <v>22</v>
      </c>
      <c r="Y16" s="334">
        <f t="shared" ref="Y16:Y17" si="7">SUM(W16:X16)</f>
        <v>2541</v>
      </c>
      <c r="Z16" s="335" t="str">
        <f>IF(ISNUMBER(Datos!CC16),Datos!CC16," - ")</f>
        <v xml:space="preserve"> - </v>
      </c>
      <c r="AA16" s="332">
        <f>IF(ISNUMBER(IF(D_I="SI",Datos!L16,Datos!L16+Datos!AF16)),IF(D_I="SI",Datos!L16,Datos!L16+Datos!AF16)," - ")</f>
        <v>2240</v>
      </c>
      <c r="AB16" s="334">
        <f>IF(ISNUMBER(Datos!R16),Datos!R16," - ")</f>
        <v>84</v>
      </c>
      <c r="AC16" s="334">
        <f t="shared" si="6"/>
        <v>2324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153</v>
      </c>
      <c r="AJ16" s="231" t="str">
        <f>IF(ISNUMBER(Datos!BW16),Datos!BW16," - ")</f>
        <v xml:space="preserve"> - </v>
      </c>
      <c r="AK16" s="232" t="str">
        <f>IF(ISNUMBER(Datos!BX16),Datos!BX16," - ")</f>
        <v xml:space="preserve"> - </v>
      </c>
      <c r="AL16" s="243">
        <f>IF(ISNUMBER(NºAsuntos!G16/NºAsuntos!E16),NºAsuntos!G16/NºAsuntos!E16," - ")</f>
        <v>1.0417700578990901</v>
      </c>
      <c r="AM16" s="260">
        <f>IF(ISNUMBER(((NºAsuntos!I16/NºAsuntos!G16)*11)/factor_trimestre),((NºAsuntos!I16/NºAsuntos!G16)*11)/factor_trimestre," - ")</f>
        <v>2.6677252878126243</v>
      </c>
      <c r="AN16" s="244">
        <f>IF(ISNUMBER('Resol  Asuntos'!D16/NºAsuntos!G16),'Resol  Asuntos'!D16/NºAsuntos!G16," - ")</f>
        <v>6.0738388249305282E-2</v>
      </c>
      <c r="AO16" s="245">
        <f>IF(ISNUMBER((NºAsuntos!C16+NºAsuntos!E16)/NºAsuntos!G16),(NºAsuntos!C16+NºAsuntos!E16)/NºAsuntos!G16," - ")</f>
        <v>1.889241762604208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111</v>
      </c>
      <c r="X17" s="226">
        <f>IF(ISNUMBER(Datos!Q17),Datos!Q17," - ")</f>
        <v>1</v>
      </c>
      <c r="Y17" s="334">
        <f t="shared" si="7"/>
        <v>112</v>
      </c>
      <c r="Z17" s="335" t="str">
        <f>IF(ISNUMBER(Datos!CC17),Datos!CC17," - ")</f>
        <v xml:space="preserve"> - </v>
      </c>
      <c r="AA17" s="332">
        <f>IF(ISNUMBER(Datos!L17),Datos!L17,"-")</f>
        <v>61</v>
      </c>
      <c r="AB17" s="334">
        <f>IF(ISNUMBER(Datos!R17),Datos!R17," - ")</f>
        <v>4</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1.0673076923076923</v>
      </c>
      <c r="AM17" s="260">
        <f>IF(ISNUMBER(((NºAsuntos!I17/NºAsuntos!G17)*11)/factor_trimestre),((NºAsuntos!I17/NºAsuntos!G17)*11)/factor_trimestre," - ")</f>
        <v>1.6486486486486489</v>
      </c>
      <c r="AN17" s="244">
        <f>IF(ISNUMBER('Resol  Asuntos'!D17/NºAsuntos!G17),'Resol  Asuntos'!D17/NºAsuntos!G17," - ")</f>
        <v>0.18018018018018017</v>
      </c>
      <c r="AO17" s="245">
        <f>IF(ISNUMBER((NºAsuntos!C17+NºAsuntos!E17)/NºAsuntos!G17),(NºAsuntos!C17+NºAsuntos!E17)/NºAsuntos!G17," - ")</f>
        <v>1.5495495495495495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2341</v>
      </c>
      <c r="G18" s="866">
        <f>SUBTOTAL(9,G15:G17)</f>
        <v>2409</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2630</v>
      </c>
      <c r="X18" s="867">
        <f t="shared" si="11"/>
        <v>23</v>
      </c>
      <c r="Y18" s="868">
        <f t="shared" si="11"/>
        <v>2653</v>
      </c>
      <c r="Z18" s="868">
        <f t="shared" si="11"/>
        <v>0</v>
      </c>
      <c r="AA18" s="868">
        <f t="shared" si="11"/>
        <v>2301</v>
      </c>
      <c r="AB18" s="868">
        <f t="shared" si="11"/>
        <v>88</v>
      </c>
      <c r="AC18" s="868">
        <f t="shared" si="11"/>
        <v>2389</v>
      </c>
      <c r="AD18" s="868">
        <f t="shared" si="11"/>
        <v>0</v>
      </c>
      <c r="AE18" s="872">
        <f t="shared" si="11"/>
        <v>0</v>
      </c>
      <c r="AF18" s="865">
        <f t="shared" si="11"/>
        <v>0</v>
      </c>
      <c r="AG18" s="873">
        <f t="shared" si="11"/>
        <v>0</v>
      </c>
      <c r="AH18" s="870">
        <f t="shared" si="11"/>
        <v>0</v>
      </c>
      <c r="AI18" s="865">
        <f t="shared" si="11"/>
        <v>173</v>
      </c>
      <c r="AJ18" s="867">
        <f t="shared" si="11"/>
        <v>0</v>
      </c>
      <c r="AK18" s="870">
        <f t="shared" si="11"/>
        <v>0</v>
      </c>
      <c r="AL18" s="874">
        <f>IF(ISNUMBER(NºAsuntos!G18/NºAsuntos!E18),NºAsuntos!G18/NºAsuntos!E18," - ")</f>
        <v>1.0428231562252182</v>
      </c>
      <c r="AM18" s="874">
        <f>IF(ISNUMBER(((NºAsuntos!I18/NºAsuntos!G18)*11)/factor_trimestre),((NºAsuntos!I18/NºAsuntos!G18)*11)/factor_trimestre," - ")</f>
        <v>2.6247148288973383</v>
      </c>
      <c r="AN18" s="875">
        <f>IF(ISNUMBER('Resol  Asuntos'!D18/NºAsuntos!G18),'Resol  Asuntos'!D18/NºAsuntos!G18," - ")</f>
        <v>6.5779467680608369E-2</v>
      </c>
      <c r="AO18" s="876">
        <f>IF(ISNUMBER((NºAsuntos!C18+NºAsuntos!E18)/NºAsuntos!G18),(NºAsuntos!C18+NºAsuntos!E18)/NºAsuntos!G18," - ")</f>
        <v>1.8749049429657794</v>
      </c>
      <c r="AP18" s="877" t="str">
        <f t="shared" si="2"/>
        <v xml:space="preserve"> - </v>
      </c>
      <c r="AQ18" s="877">
        <f>IF(ISNUMBER((H18-W18+K18)/(F18)),(H18-W18+K18)/(F18)," - ")</f>
        <v>-1.1234515164459633</v>
      </c>
      <c r="AR18" s="878">
        <f>IF(ISNUMBER((Datos!P18-Datos!Q18)/(Datos!R18-Datos!P18+Datos!Q18)),(Datos!P18-Datos!Q18)/(Datos!R18-Datos!P18+Datos!Q18)," - ")</f>
        <v>7.3170731707317069E-2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2348</v>
      </c>
      <c r="G19" s="821">
        <f t="shared" si="13"/>
        <v>2416</v>
      </c>
      <c r="H19" s="820">
        <f t="shared" si="13"/>
        <v>0</v>
      </c>
      <c r="I19" s="822">
        <f t="shared" si="13"/>
        <v>0</v>
      </c>
      <c r="J19" s="822">
        <f t="shared" si="13"/>
        <v>0</v>
      </c>
      <c r="K19" s="881">
        <f t="shared" si="13"/>
        <v>0</v>
      </c>
      <c r="L19" s="822">
        <f t="shared" si="13"/>
        <v>266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2635</v>
      </c>
      <c r="X19" s="821">
        <f t="shared" si="14"/>
        <v>498</v>
      </c>
      <c r="Y19" s="828">
        <f t="shared" si="14"/>
        <v>3133</v>
      </c>
      <c r="Z19" s="828">
        <f t="shared" si="14"/>
        <v>0</v>
      </c>
      <c r="AA19" s="828">
        <f t="shared" si="14"/>
        <v>2310</v>
      </c>
      <c r="AB19" s="828">
        <f t="shared" si="14"/>
        <v>5149</v>
      </c>
      <c r="AC19" s="828">
        <f t="shared" si="14"/>
        <v>2398</v>
      </c>
      <c r="AD19" s="828">
        <f t="shared" si="14"/>
        <v>0</v>
      </c>
      <c r="AE19" s="830">
        <f t="shared" si="14"/>
        <v>0</v>
      </c>
      <c r="AF19" s="831">
        <f t="shared" si="14"/>
        <v>0</v>
      </c>
      <c r="AG19" s="832">
        <f t="shared" si="14"/>
        <v>0</v>
      </c>
      <c r="AH19" s="830">
        <f t="shared" si="14"/>
        <v>0</v>
      </c>
      <c r="AI19" s="820">
        <f t="shared" si="14"/>
        <v>489</v>
      </c>
      <c r="AJ19" s="820">
        <f t="shared" si="14"/>
        <v>0</v>
      </c>
      <c r="AK19" s="830">
        <f t="shared" si="14"/>
        <v>0</v>
      </c>
      <c r="AL19" s="884">
        <f>IF(ISNUMBER(NºAsuntos!G19/NºAsuntos!E19),NºAsuntos!G19/NºAsuntos!E19," - ")</f>
        <v>1.0202759785975781</v>
      </c>
      <c r="AM19" s="885">
        <f>IF(ISNUMBER(((NºAsuntos!I19/NºAsuntos!G19)*11)/factor_trimestre),((NºAsuntos!I19/NºAsuntos!G19)*11)/factor_trimestre," - ")</f>
        <v>4.8895942589014636</v>
      </c>
      <c r="AN19" s="885">
        <f>IF(ISNUMBER('Resol  Asuntos'!D19/NºAsuntos!G19),'Resol  Asuntos'!D19/NºAsuntos!G19," - ")</f>
        <v>0.13497101849296164</v>
      </c>
      <c r="AO19" s="886">
        <f>IF(ISNUMBER((NºAsuntos!C19+NºAsuntos!E19)/NºAsuntos!G19),(NºAsuntos!C19+NºAsuntos!E19)/NºAsuntos!G19," - ")</f>
        <v>2.6298647529671544</v>
      </c>
      <c r="AP19" s="887" t="str">
        <f t="shared" si="2"/>
        <v xml:space="preserve"> - </v>
      </c>
      <c r="AQ19" s="888">
        <f>IF(OR(ISNUMBER(FIND("01",Criterios!A8,1)),ISNUMBER(FIND("02",Criterios!A8,1)),ISNUMBER(FIND("03",Criterios!A8,1)),ISNUMBER(FIND("04",Criterios!A8,1))),(I19-W19+K19)/(F19-K19),(H19-W19+K19)/(F19-K19))</f>
        <v>-1.1222316865417377</v>
      </c>
      <c r="AR19" s="889">
        <f>IF(ISNUMBER((Datos!P19-Datos!Q19)/(Datos!R19-Datos!P19+Datos!Q19)),(Datos!P19-Datos!Q19)/(Datos!R19-Datos!P19+Datos!Q19)," - ")</f>
        <v>-4.311466270209998E-2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1347.5355282885866</v>
      </c>
      <c r="G21" s="253">
        <f>IF(ISNUMBER(STDEV(G8:G18)),STDEV(G8:G18),"-")</f>
        <v>1286.3358037464402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1389.2490777394814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135.76302884069727</v>
      </c>
      <c r="AJ21" s="252">
        <f t="shared" si="18"/>
        <v>0</v>
      </c>
      <c r="AK21" s="254">
        <f t="shared" si="18"/>
        <v>0</v>
      </c>
      <c r="AL21" s="249">
        <f t="shared" si="18"/>
        <v>0.1305887537903983</v>
      </c>
      <c r="AM21" s="250">
        <f t="shared" si="18"/>
        <v>4.2256168890250612</v>
      </c>
      <c r="AN21" s="250">
        <f t="shared" si="18"/>
        <v>0.20295774752188711</v>
      </c>
      <c r="AO21" s="251">
        <f t="shared" si="18"/>
        <v>1.4085389630083527</v>
      </c>
      <c r="AP21" s="291" t="str">
        <f t="shared" si="18"/>
        <v>-</v>
      </c>
      <c r="AQ21" s="292">
        <f t="shared" si="18"/>
        <v>0.28932391333714569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PCIjf8cErxZDNJKFQ2qnINiCFv5WgbeVEUMCPnfYfMcwYHvOwXr24BvU+fehfiRNAx+0FWw77gbOG3hvVC2bzA==" saltValue="h9rhs8gnlzC3htAYWci4R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VELEZ-MALAGA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0.16666666666666666</v>
      </c>
      <c r="F10" s="348">
        <f>IF(ISNUMBER((Datos!K10-Datos!U10)/Datos!U10),(Datos!K10-Datos!U10)/Datos!U10," - ")</f>
        <v>-0.5</v>
      </c>
      <c r="G10" s="349">
        <f>IF(ISNUMBER((Datos!L10-Datos!V10)/Datos!V10),(Datos!L10-Datos!V10)/Datos!V10," - ")</f>
        <v>1.25</v>
      </c>
      <c r="H10" s="230">
        <f>IF(ISNUMBER((Datos!M10-Datos!W10)/Datos!W10),(Datos!M10-Datos!W10)/Datos!W10," - ")</f>
        <v>-0.4</v>
      </c>
      <c r="I10" s="350">
        <f>IF(ISNUMBER((Tasas!C10-Datos!BE10)/Datos!BE10),(Tasas!C10-Datos!BE10)/Datos!BE10," - ")</f>
        <v>3.4999999999999996</v>
      </c>
      <c r="J10" s="349">
        <f>IF(ISNUMBER((Tasas!D10-Datos!BF10)/Datos!BF10),(Tasas!D10-Datos!BF10)/Datos!BF10," - ")</f>
        <v>0.19999999999999996</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3.9867109634551492E-2</v>
      </c>
      <c r="I12" s="350">
        <f>IF(ISNUMBER((Tasas!C12-Datos!BE12)/Datos!BE12),(Tasas!C12-Datos!BE12)/Datos!BE12," - ")</f>
        <v>0.32304207871507268</v>
      </c>
      <c r="J12" s="349">
        <f>IF(ISNUMBER((Tasas!D12-Datos!BF12)/Datos!BF12),(Tasas!D12-Datos!BF12)/Datos!BF12," - ")</f>
        <v>-7.7866152358485471E-2</v>
      </c>
      <c r="K12" s="351">
        <f>IF(ISNUMBER((Tasas!E12-Datos!BG12)/Datos!BG12),(Tasas!E12-Datos!BG12)/Datos!BG12," - ")</f>
        <v>0.23690270259220284</v>
      </c>
      <c r="M12" t="e">
        <f>IF(Monitorios="SI",Datos!CE12,0)</f>
        <v>#REF!</v>
      </c>
      <c r="N12" t="e">
        <f>IF(Monitorios="SI",Datos!CF12,0)</f>
        <v>#REF!</v>
      </c>
      <c r="O12" t="e">
        <f>IF(Monitorios="SI",Datos!CG12,0)</f>
        <v>#REF!</v>
      </c>
      <c r="P12" t="e">
        <f>IF(Monitorios="SI",Datos!CH12,0)</f>
        <v>#REF!</v>
      </c>
      <c r="Q12">
        <f>IF(J_V="SI",0,Datos!AG12)</f>
        <v>86</v>
      </c>
      <c r="R12">
        <f>IF(J_V="SI",0,Datos!AH12)</f>
        <v>89</v>
      </c>
      <c r="S12">
        <f>IF(J_V="SI",0,Datos!AI12)</f>
        <v>98</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3.2679738562091505E-2</v>
      </c>
      <c r="I13" s="357">
        <f>IF(ISNUMBER((Tasas!C13-Datos!BE13)/Datos!BE13),(Tasas!C13-Datos!BE13)/Datos!BE13," - ")</f>
        <v>0.32983141321272486</v>
      </c>
      <c r="J13" s="355">
        <f>IF(ISNUMBER((Tasas!D13-Datos!BF13)/Datos!BF13),(Tasas!D13-Datos!BF13)/Datos!BF13," - ")</f>
        <v>-7.7469749385595629E-2</v>
      </c>
      <c r="K13" s="358">
        <f>IF(ISNUMBER((Tasas!E13-Datos!BG13)/Datos!BG13),(Tasas!E13-Datos!BG13)/Datos!BG13," - ")</f>
        <v>0.24138632541376989</v>
      </c>
      <c r="M13" t="e">
        <f>IF(Monitorios="SI",Datos!CE13,0)</f>
        <v>#REF!</v>
      </c>
      <c r="N13" t="e">
        <f>IF(Monitorios="SI",Datos!CF13,0)</f>
        <v>#REF!</v>
      </c>
      <c r="O13" t="e">
        <f>IF(Monitorios="SI",Datos!CG13,0)</f>
        <v>#REF!</v>
      </c>
      <c r="P13" t="e">
        <f>IF(Monitorios="SI",Datos!CH13,0)</f>
        <v>#REF!</v>
      </c>
      <c r="Q13">
        <f>IF(J_V="SI",0,Datos!AG13)</f>
        <v>86</v>
      </c>
      <c r="R13">
        <f>IF(J_V="SI",0,Datos!AH13)</f>
        <v>89</v>
      </c>
      <c r="S13">
        <f>IF(J_V="SI",0,Datos!AI13)</f>
        <v>98</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0.41707021791767557</v>
      </c>
      <c r="E16" s="348">
        <f>IF(ISNUMBER(
   IF(D_I="SI",(Datos!J16-Datos!T16)/Datos!T16,(Datos!J16+Datos!AD16-(Datos!T16+Datos!AL16))/(Datos!T16+Datos!AL16))
     ),IF(D_I="SI",(Datos!J16-Datos!T16)/Datos!T16,(Datos!J16+Datos!AD16-(Datos!T16+Datos!AL16))/(Datos!T16+Datos!AL16))," - ")</f>
        <v>-0.20329489291598024</v>
      </c>
      <c r="F16" s="348">
        <f>IF(ISNUMBER(
   IF(D_I="SI",(Datos!K16-Datos!U16)/Datos!U16,(Datos!K16+Datos!AE16-(Datos!U16+Datos!AM16))/(Datos!U16+Datos!AM16))
     ),IF(D_I="SI",(Datos!K16-Datos!U16)/Datos!U16,(Datos!K16+Datos!AE16-(Datos!U16+Datos!AM16))/(Datos!U16+Datos!AM16))," - ")</f>
        <v>-0.15893155258764607</v>
      </c>
      <c r="G16" s="349">
        <f>IF(ISNUMBER(
   IF(D_I="SI",(Datos!L16-Datos!V16)/Datos!V16,(Datos!L16+Datos!AF16-(Datos!V16+Datos!AN16))/(Datos!V16+Datos!AN16))
     ),IF(D_I="SI",(Datos!L16-Datos!V16)/Datos!V16,(Datos!L16+Datos!AF16-(Datos!V16+Datos!AN16))/(Datos!V16+Datos!AN16))," - ")</f>
        <v>0.33811230585424135</v>
      </c>
      <c r="H16" s="230">
        <f>IF(ISNUMBER((Datos!M16-Datos!W16)/Datos!W16),(Datos!M16-Datos!W16)/Datos!W16," - ")</f>
        <v>0.17692307692307693</v>
      </c>
      <c r="I16" s="350">
        <f>IF(ISNUMBER((Tasas!C16-Datos!BE16)/Datos!BE16),(Tasas!C16-Datos!BE16)/Datos!BE16," - ")</f>
        <v>0.5909671917560354</v>
      </c>
      <c r="J16" s="349">
        <f>IF(ISNUMBER((Tasas!D16-Datos!BF16)/Datos!BF16),(Tasas!D16-Datos!BF16)/Datos!BF16," - ")</f>
        <v>0.39931902158976401</v>
      </c>
      <c r="K16" s="351">
        <f>IF(ISNUMBER((Tasas!E16-Datos!BG16)/Datos!BG16),(Tasas!E16-Datos!BG16)/Datos!BG16," - ")</f>
        <v>0.20722830787275504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-0.17073170731707318</v>
      </c>
      <c r="E17" s="348">
        <f>IF(ISNUMBER(
   IF(D_I="SI",(Datos!J17-Datos!T17)/Datos!T17,(Datos!J17+Datos!AD17-(Datos!T17+Datos!AL17))/(Datos!T17+Datos!AL17))
     ),IF(D_I="SI",(Datos!J17-Datos!T17)/Datos!T17,(Datos!J17+Datos!AD17-(Datos!T17+Datos!AL17))/(Datos!T17+Datos!AL17))," - ")</f>
        <v>0.10638297872340426</v>
      </c>
      <c r="F17" s="348">
        <f>IF(ISNUMBER(
   IF(D_I="SI",(Datos!K17-Datos!U17)/Datos!U17,(Datos!K17+Datos!AE17-(Datos!U17+Datos!AM17))/(Datos!U17+Datos!AM17))
     ),IF(D_I="SI",(Datos!K17-Datos!U17)/Datos!U17,(Datos!K17+Datos!AE17-(Datos!U17+Datos!AM17))/(Datos!U17+Datos!AM17))," - ")</f>
        <v>5.7142857142857141E-2</v>
      </c>
      <c r="G17" s="349">
        <f>IF(ISNUMBER(
   IF(D_I="SI",(Datos!L17-Datos!V17)/Datos!V17,(Datos!L17+Datos!AF17-(Datos!V17+Datos!AN17))/(Datos!V17+Datos!AN17))
     ),IF(D_I="SI",(Datos!L17-Datos!V17)/Datos!V17,(Datos!L17+Datos!AF17-(Datos!V17+Datos!AN17))/(Datos!V17+Datos!AN17))," - ")</f>
        <v>-0.14084507042253522</v>
      </c>
      <c r="H17" s="230">
        <f>IF(ISNUMBER((Datos!M17-Datos!W17)/Datos!W17),(Datos!M17-Datos!W17)/Datos!W17," - ")</f>
        <v>0.25</v>
      </c>
      <c r="I17" s="350">
        <f>IF(ISNUMBER((Tasas!C17-Datos!BE17)/Datos!BE17),(Tasas!C17-Datos!BE17)/Datos!BE17," - ")</f>
        <v>-0.18728587742672248</v>
      </c>
      <c r="J17" s="349">
        <f>IF(ISNUMBER((Tasas!D17-Datos!BF17)/Datos!BF17),(Tasas!D17-Datos!BF17)/Datos!BF17," - ")</f>
        <v>0.18243243243243226</v>
      </c>
      <c r="K17" s="351">
        <f>IF(ISNUMBER((Tasas!E17-Datos!BG17)/Datos!BG17),(Tasas!E17-Datos!BG17)/Datos!BG17," - ")</f>
        <v>-7.5552825552825609E-2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0.38927335640138411</v>
      </c>
      <c r="E18" s="354">
        <f>IF(ISNUMBER(
   IF(D_I="SI",(Datos!J18-Datos!T18)/Datos!T18,(Datos!J18+Datos!AD18-(Datos!T18+Datos!AL18))/(Datos!T18+Datos!AL18))
     ),IF(D_I="SI",(Datos!J18-Datos!T18)/Datos!T18,(Datos!J18+Datos!AD18-(Datos!T18+Datos!AL18))/(Datos!T18+Datos!AL18))," - ")</f>
        <v>-0.19399169063598592</v>
      </c>
      <c r="F18" s="354">
        <f>IF(ISNUMBER(
   IF(D_I="SI",(Datos!K18-Datos!U18)/Datos!U18,(Datos!K18+Datos!AE18-(Datos!U18+Datos!AM18))/(Datos!U18+Datos!AM18))
     ),IF(D_I="SI",(Datos!K18-Datos!U18)/Datos!U18,(Datos!K18+Datos!AE18-(Datos!U18+Datos!AM18))/(Datos!U18+Datos!AM18))," - ")</f>
        <v>-0.15161290322580645</v>
      </c>
      <c r="G18" s="355">
        <f>IF(ISNUMBER(
   IF(D_I="SI",(Datos!L18-Datos!V18)/Datos!V18,(Datos!L18+Datos!AF18-(Datos!V18+Datos!AN18))/(Datos!V18+Datos!AN18))
     ),IF(D_I="SI",(Datos!L18-Datos!V18)/Datos!V18,(Datos!L18+Datos!AF18-(Datos!V18+Datos!AN18))/(Datos!V18+Datos!AN18))," - ")</f>
        <v>0.3186246418338109</v>
      </c>
      <c r="H18" s="356">
        <f>IF(ISNUMBER((Datos!M18-Datos!W18)/Datos!W18),(Datos!M18-Datos!W18)/Datos!W18," - ")</f>
        <v>0.18493150684931506</v>
      </c>
      <c r="I18" s="357">
        <f>IF(ISNUMBER((Tasas!C18-Datos!BE18)/Datos!BE18),(Tasas!C18-Datos!BE18)/Datos!BE18," - ")</f>
        <v>0.55427239151513841</v>
      </c>
      <c r="J18" s="355">
        <f>IF(ISNUMBER((Tasas!D18-Datos!BF18)/Datos!BF18),(Tasas!D18-Datos!BF18)/Datos!BF18," - ")</f>
        <v>0.39668732746497226</v>
      </c>
      <c r="K18" s="358">
        <f>IF(ISNUMBER((Tasas!E18-Datos!BG18)/Datos!BG18),(Tasas!E18-Datos!BG18)/Datos!BG18," - ")</f>
        <v>0.19518925009128446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0.26017288635884461</v>
      </c>
      <c r="E19" s="363">
        <f>IF(ISNUMBER(
   IF(J_V="SI",(Datos!J19-Datos!T19)/Datos!T19,(Datos!J19+Datos!Z19-(Datos!T19+Datos!AH19))/(Datos!T19+Datos!AH19))
     ),IF(J_V="SI",(Datos!J19-Datos!T19)/Datos!T19,(Datos!J19+Datos!Z19-(Datos!T19+Datos!AH19))/(Datos!T19+Datos!AH19))," - ")</f>
        <v>-0.1728395061728395</v>
      </c>
      <c r="F19" s="363">
        <f>IF(ISNUMBER(
   IF(J_V="SI",(Datos!K19-Datos!U19)/Datos!U19,(Datos!K19+Datos!AA19-(Datos!U19+Datos!AI19))/(Datos!U19+Datos!AI19))
     ),IF(J_V="SI",(Datos!K19-Datos!U19)/Datos!U19,(Datos!K19+Datos!AA19-(Datos!U19+Datos!AI19))/(Datos!U19+Datos!AI19))," - ")</f>
        <v>-0.14126570277316899</v>
      </c>
      <c r="G19" s="364">
        <f>IF(ISNUMBER(
   IF(J_V="SI",(Datos!L19-Datos!V19)/Datos!V19,(Datos!L19+Datos!AB19-(Datos!V19+Datos!AJ19))/(Datos!V19+Datos!AJ19))
     ),IF(J_V="SI",(Datos!L19-Datos!V19)/Datos!V19,(Datos!L19+Datos!AB19-(Datos!V19+Datos!AJ19))/(Datos!V19+Datos!AJ19))," - ")</f>
        <v>0.23046468014169619</v>
      </c>
      <c r="H19" s="365">
        <f>IF(ISNUMBER((Datos!M19-Datos!W19)/Datos!W19),(Datos!M19-Datos!W19)/Datos!W19," - ")</f>
        <v>8.185840707964602E-2</v>
      </c>
      <c r="I19" s="362">
        <f>IF(ISNUMBER((Tasas!C19-Datos!BE19)/Datos!BE19),(Tasas!C19-Datos!BE19)/Datos!BE19," - ")</f>
        <v>0.43288172385255758</v>
      </c>
      <c r="J19" s="363">
        <f>IF(ISNUMBER((Tasas!D19-Datos!BF19)/Datos!BF19),(Tasas!D19-Datos!BF19)/Datos!BF19," - ")</f>
        <v>7.0381065830460748E-2</v>
      </c>
      <c r="K19" s="364">
        <f>IF(ISNUMBER((Tasas!E19-Datos!BG19)/Datos!BG19),(Tasas!E19-Datos!BG19)/Datos!BG19," - ")</f>
        <v>0.22791051270124216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0.31889105186593403</v>
      </c>
      <c r="E21" s="278">
        <f t="shared" si="1"/>
        <v>0.19510510095878184</v>
      </c>
      <c r="F21" s="278">
        <f t="shared" si="1"/>
        <v>0.23065668913999601</v>
      </c>
      <c r="G21" s="279">
        <f t="shared" si="1"/>
        <v>0.58269071186123034</v>
      </c>
      <c r="H21" s="285">
        <f t="shared" si="1"/>
        <v>0.23544769838143717</v>
      </c>
      <c r="I21" s="277">
        <f t="shared" si="1"/>
        <v>1.3267445328416312</v>
      </c>
      <c r="J21" s="278">
        <f t="shared" si="1"/>
        <v>0.2134039480302421</v>
      </c>
      <c r="K21" s="279">
        <f t="shared" si="1"/>
        <v>0.36277932957971926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XXFBl10PecF2108xtin5YPai4kEBrsoGEYqVJtr8kAhbbjYaGYJ7Cw9pzJvo8hOuRKpecTmPuGX0WgVrIHfkQ==" saltValue="eMGc9ERK0q3Twv148EjVt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